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NHM" sheetId="1" r:id="rId1"/>
  </sheets>
  <definedNames>
    <definedName name="_Fill" hidden="1">#REF!</definedName>
    <definedName name="_xlnm._FilterDatabase" localSheetId="0" hidden="1">NHM!$A$10:$C$260</definedName>
    <definedName name="_Key1" hidden="1">#REF!</definedName>
    <definedName name="_Sort" hidden="1">#REF!</definedName>
    <definedName name="A" hidden="1">#REF!</definedName>
    <definedName name="data">#REF!</definedName>
    <definedName name="_xlnm.Database">#REF!</definedName>
    <definedName name="dsg" hidden="1">#REF!</definedName>
  </definedNames>
  <calcPr calcId="144525"/>
</workbook>
</file>

<file path=xl/calcChain.xml><?xml version="1.0" encoding="utf-8"?>
<calcChain xmlns="http://schemas.openxmlformats.org/spreadsheetml/2006/main">
  <c r="E260" i="1" l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D260" i="1"/>
  <c r="E245" i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D245" i="1"/>
  <c r="E244" i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D244" i="1"/>
  <c r="E241" i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E242" i="1"/>
  <c r="D242" i="1"/>
  <c r="D241" i="1"/>
  <c r="Q201" i="1" l="1"/>
  <c r="Q200" i="1"/>
  <c r="Q199" i="1"/>
  <c r="Q198" i="1"/>
  <c r="Q243" i="1" l="1"/>
  <c r="Q66" i="1" l="1"/>
  <c r="Q65" i="1"/>
  <c r="Q64" i="1"/>
  <c r="Q63" i="1"/>
  <c r="Q62" i="1"/>
  <c r="Q61" i="1"/>
  <c r="Q60" i="1"/>
  <c r="Q59" i="1"/>
  <c r="Q58" i="1"/>
  <c r="P54" i="1" l="1"/>
  <c r="P51" i="1"/>
  <c r="K51" i="1"/>
  <c r="F51" i="1"/>
  <c r="E51" i="1"/>
  <c r="D51" i="1"/>
  <c r="Q110" i="1" l="1"/>
  <c r="Q108" i="1"/>
  <c r="Q107" i="1"/>
  <c r="Q43" i="1" l="1"/>
  <c r="Q42" i="1"/>
  <c r="Q41" i="1"/>
  <c r="P40" i="1"/>
  <c r="Q40" i="1" s="1"/>
  <c r="P39" i="1"/>
  <c r="O39" i="1"/>
  <c r="N39" i="1"/>
  <c r="M39" i="1"/>
  <c r="L39" i="1"/>
  <c r="K39" i="1"/>
  <c r="I39" i="1"/>
  <c r="H39" i="1"/>
  <c r="G39" i="1"/>
  <c r="F39" i="1"/>
  <c r="E39" i="1"/>
  <c r="D39" i="1"/>
  <c r="Q39" i="1" s="1"/>
  <c r="Q38" i="1"/>
  <c r="P38" i="1"/>
  <c r="D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Q37" i="1" s="1"/>
  <c r="P36" i="1"/>
  <c r="I36" i="1"/>
  <c r="F36" i="1"/>
  <c r="E36" i="1"/>
  <c r="D36" i="1"/>
  <c r="Q36" i="1" s="1"/>
  <c r="P125" i="1" l="1"/>
  <c r="M125" i="1"/>
  <c r="L125" i="1"/>
  <c r="K125" i="1"/>
  <c r="I125" i="1"/>
  <c r="Q125" i="1" s="1"/>
  <c r="D125" i="1"/>
  <c r="Q124" i="1"/>
  <c r="Q123" i="1"/>
  <c r="Q122" i="1"/>
  <c r="Q121" i="1"/>
  <c r="Q120" i="1"/>
  <c r="Q119" i="1"/>
  <c r="Q118" i="1"/>
  <c r="P117" i="1"/>
  <c r="Q117" i="1" s="1"/>
  <c r="Q116" i="1"/>
  <c r="K225" i="1" l="1"/>
  <c r="O225" i="1"/>
  <c r="N225" i="1"/>
  <c r="M225" i="1"/>
  <c r="I225" i="1"/>
  <c r="H225" i="1"/>
  <c r="L225" i="1"/>
  <c r="F225" i="1"/>
  <c r="G225" i="1"/>
  <c r="E225" i="1"/>
  <c r="D225" i="1"/>
  <c r="D196" i="1" l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D165" i="1"/>
  <c r="D164" i="1" s="1"/>
  <c r="E165" i="1"/>
  <c r="E164" i="1" s="1"/>
  <c r="F165" i="1"/>
  <c r="F164" i="1" s="1"/>
  <c r="G165" i="1"/>
  <c r="G164" i="1" s="1"/>
  <c r="H165" i="1"/>
  <c r="H164" i="1" s="1"/>
  <c r="I165" i="1"/>
  <c r="I164" i="1" s="1"/>
  <c r="J165" i="1"/>
  <c r="J164" i="1" s="1"/>
  <c r="K165" i="1"/>
  <c r="K164" i="1" s="1"/>
  <c r="L165" i="1"/>
  <c r="L164" i="1" s="1"/>
  <c r="M165" i="1"/>
  <c r="M164" i="1" s="1"/>
  <c r="N165" i="1"/>
  <c r="N164" i="1" s="1"/>
  <c r="O165" i="1"/>
  <c r="O164" i="1" s="1"/>
  <c r="P165" i="1"/>
  <c r="P164" i="1" s="1"/>
  <c r="Q165" i="1"/>
  <c r="Q164" i="1" s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D115" i="1"/>
  <c r="E115" i="1"/>
  <c r="F115" i="1"/>
  <c r="F114" i="1" s="1"/>
  <c r="G115" i="1"/>
  <c r="H115" i="1"/>
  <c r="I115" i="1"/>
  <c r="J115" i="1"/>
  <c r="J114" i="1" s="1"/>
  <c r="K115" i="1"/>
  <c r="L115" i="1"/>
  <c r="M115" i="1"/>
  <c r="N115" i="1"/>
  <c r="N114" i="1" s="1"/>
  <c r="O115" i="1"/>
  <c r="P115" i="1"/>
  <c r="Q115" i="1"/>
  <c r="Q114" i="1" s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P11" i="1"/>
  <c r="Q11" i="1"/>
  <c r="Q10" i="1" s="1"/>
  <c r="O11" i="1"/>
  <c r="N11" i="1"/>
  <c r="M11" i="1"/>
  <c r="L11" i="1"/>
  <c r="K11" i="1"/>
  <c r="J11" i="1"/>
  <c r="I11" i="1"/>
  <c r="H11" i="1"/>
  <c r="G11" i="1"/>
  <c r="F11" i="1"/>
  <c r="E11" i="1"/>
  <c r="D11" i="1"/>
  <c r="C231" i="1"/>
  <c r="C129" i="1"/>
  <c r="C33" i="1"/>
  <c r="C261" i="1"/>
  <c r="M114" i="1" l="1"/>
  <c r="E114" i="1"/>
  <c r="P114" i="1"/>
  <c r="L114" i="1"/>
  <c r="H114" i="1"/>
  <c r="D114" i="1"/>
  <c r="O114" i="1"/>
  <c r="K114" i="1"/>
  <c r="P10" i="1"/>
  <c r="P9" i="1" s="1"/>
  <c r="G114" i="1"/>
  <c r="I114" i="1"/>
  <c r="Q9" i="1"/>
  <c r="C255" i="1" l="1"/>
  <c r="C251" i="1"/>
  <c r="C248" i="1"/>
  <c r="C240" i="1"/>
  <c r="C238" i="1"/>
  <c r="C227" i="1"/>
  <c r="C222" i="1"/>
  <c r="C214" i="1"/>
  <c r="C208" i="1"/>
  <c r="C202" i="1"/>
  <c r="C197" i="1"/>
  <c r="C192" i="1"/>
  <c r="C190" i="1"/>
  <c r="C184" i="1"/>
  <c r="C180" i="1"/>
  <c r="C177" i="1"/>
  <c r="C169" i="1"/>
  <c r="C165" i="1"/>
  <c r="C160" i="1"/>
  <c r="C156" i="1"/>
  <c r="C149" i="1"/>
  <c r="C145" i="1"/>
  <c r="C139" i="1"/>
  <c r="C135" i="1"/>
  <c r="C126" i="1"/>
  <c r="C115" i="1"/>
  <c r="C106" i="1"/>
  <c r="C93" i="1"/>
  <c r="C88" i="1"/>
  <c r="C82" i="1"/>
  <c r="C68" i="1"/>
  <c r="C57" i="1"/>
  <c r="C49" i="1"/>
  <c r="C45" i="1"/>
  <c r="C30" i="1"/>
  <c r="C11" i="1"/>
  <c r="C114" i="1" l="1"/>
  <c r="C196" i="1"/>
  <c r="C10" i="1"/>
  <c r="C164" i="1"/>
  <c r="C80" i="1"/>
  <c r="D10" i="1" l="1"/>
  <c r="L10" i="1"/>
  <c r="H10" i="1"/>
  <c r="O10" i="1"/>
  <c r="K10" i="1"/>
  <c r="G10" i="1"/>
  <c r="G9" i="1" s="1"/>
  <c r="F10" i="1"/>
  <c r="F9" i="1" s="1"/>
  <c r="N10" i="1"/>
  <c r="N9" i="1" s="1"/>
  <c r="J10" i="1"/>
  <c r="J9" i="1" s="1"/>
  <c r="E10" i="1"/>
  <c r="E9" i="1" s="1"/>
  <c r="M10" i="1"/>
  <c r="M9" i="1" s="1"/>
  <c r="I10" i="1"/>
  <c r="I9" i="1" s="1"/>
  <c r="C9" i="1"/>
  <c r="K9" i="1" l="1"/>
  <c r="H9" i="1"/>
  <c r="D9" i="1"/>
  <c r="O9" i="1"/>
  <c r="L9" i="1"/>
  <c r="C269" i="1"/>
</calcChain>
</file>

<file path=xl/sharedStrings.xml><?xml version="1.0" encoding="utf-8"?>
<sst xmlns="http://schemas.openxmlformats.org/spreadsheetml/2006/main" count="293" uniqueCount="261">
  <si>
    <t>Village Health &amp; Nutrition Day (VHND)</t>
  </si>
  <si>
    <t>Pregnancy Registration and Ante-Natal Checkups</t>
  </si>
  <si>
    <t>Janani Suraksha Yojana (JSY)</t>
  </si>
  <si>
    <t>Janani Shishu Suraksha Karyakram (JSSK) (excluding transport)</t>
  </si>
  <si>
    <t>Janani Shishu Suraksha Karyakram (JSSK) - transport</t>
  </si>
  <si>
    <t>Pradhan Mantri Surakshit Matritva Abhiyan (PMSMA)</t>
  </si>
  <si>
    <t>Surakshit Matritva Aashwasan (SUMAN)</t>
  </si>
  <si>
    <t>Midwifery</t>
  </si>
  <si>
    <t>Maternal Death Review</t>
  </si>
  <si>
    <t>Comprehensive Abortion Care</t>
  </si>
  <si>
    <t>MCH wings</t>
  </si>
  <si>
    <t>FRUs</t>
  </si>
  <si>
    <t>HDU/ICU - Maternal Health</t>
  </si>
  <si>
    <t>Labour Rooms (LDR + NBCCs)</t>
  </si>
  <si>
    <t>LaQshya</t>
  </si>
  <si>
    <t>Implementation of RCH Portal/ANMOL/MCTS</t>
  </si>
  <si>
    <t>Other MH Components</t>
  </si>
  <si>
    <t>State specific Initiatives and Innovations</t>
  </si>
  <si>
    <t>PC &amp; PNDT Act</t>
  </si>
  <si>
    <t>Gender Based Violence &amp; Medico Legal Care For Survivors Victims of Sexual Violence</t>
  </si>
  <si>
    <t>Rashtriya Bal Swasthya Karyakram (RBSK)</t>
  </si>
  <si>
    <t>RBSK at Facility Level including District Early Intervention Centers (DEIC)</t>
  </si>
  <si>
    <t>Facility Based New born Care</t>
  </si>
  <si>
    <t>Child Death Review</t>
  </si>
  <si>
    <t>SAANS</t>
  </si>
  <si>
    <t xml:space="preserve">Paediatric Care </t>
  </si>
  <si>
    <t>Other Child Health Components</t>
  </si>
  <si>
    <t>Immunization including Mission Indradhanush</t>
  </si>
  <si>
    <t>Pulse polio Campaign</t>
  </si>
  <si>
    <t>eVIN Operational Cost</t>
  </si>
  <si>
    <t>Adolescent Friendly Health Clinics</t>
  </si>
  <si>
    <t>Weekly Iron Folic Supplement (WIFS)</t>
  </si>
  <si>
    <t>Menstrual Hygiene Scheme (MHS)</t>
  </si>
  <si>
    <t>Peer Educator Programme</t>
  </si>
  <si>
    <t>School Health And Wellness Program under Ayushman Bharat</t>
  </si>
  <si>
    <t>Other Adolescent Health Components</t>
  </si>
  <si>
    <t>Sterilization - Female</t>
  </si>
  <si>
    <t>Sterilization - Male</t>
  </si>
  <si>
    <t>IUCD Insertion (PPIUCD and PAIUCD)</t>
  </si>
  <si>
    <t>ANTARA</t>
  </si>
  <si>
    <t>MPV(Mission Parivar Vikas)</t>
  </si>
  <si>
    <t>Family Planning Indemnity Scheme</t>
  </si>
  <si>
    <t>FPLMIS</t>
  </si>
  <si>
    <t>World Population Day and Vasectomy fortnight</t>
  </si>
  <si>
    <t>Other Family Planning Components</t>
  </si>
  <si>
    <t>Anaemia Mukt Bharat</t>
  </si>
  <si>
    <t>National Deworming Day</t>
  </si>
  <si>
    <t>Nutritional Rehabilitation Centers (NRC)</t>
  </si>
  <si>
    <t>Vitamin A Supplementation</t>
  </si>
  <si>
    <t>Mother's Absolute Affection (MAA)</t>
  </si>
  <si>
    <t>Lactation Management Centers</t>
  </si>
  <si>
    <t>Intensified Diarrhoea Control Fortnight</t>
  </si>
  <si>
    <t>Eat Right Campaign</t>
  </si>
  <si>
    <t>Other Nutrition Components</t>
  </si>
  <si>
    <t>Malaria</t>
  </si>
  <si>
    <t>Kala-azar</t>
  </si>
  <si>
    <t>AES/JE</t>
  </si>
  <si>
    <t>Dengue &amp; Chikungunya</t>
  </si>
  <si>
    <t>Lymphatic Filariasis</t>
  </si>
  <si>
    <t>District Awards</t>
  </si>
  <si>
    <t>Other NLEP Components</t>
  </si>
  <si>
    <t>Drug Sensitive TB (DSTB)</t>
  </si>
  <si>
    <t>Nikshay Poshan Yojana</t>
  </si>
  <si>
    <t>PPP</t>
  </si>
  <si>
    <t>Latent TB Infection (LTBI)</t>
  </si>
  <si>
    <t>Drug Resistant TB(DRTB)</t>
  </si>
  <si>
    <t>TB Harega Desh Jeetega Campaign</t>
  </si>
  <si>
    <t>Prevention</t>
  </si>
  <si>
    <t>Screening and Testing through facilities</t>
  </si>
  <si>
    <t>Screening and Testing through NGOs</t>
  </si>
  <si>
    <t>Treatment</t>
  </si>
  <si>
    <t>Implementation of State specific Initiatives and Innovations</t>
  </si>
  <si>
    <t>Cataract Surgeries through facilities</t>
  </si>
  <si>
    <t>Cataract Surgeries through NGOs</t>
  </si>
  <si>
    <t>Other Ophthalmic Interventions through facilities</t>
  </si>
  <si>
    <t>Other Ophthalmic Interventions through NGOs</t>
  </si>
  <si>
    <t>Mobile Ophthalmic Units</t>
  </si>
  <si>
    <t>Collection of eye balls by eye banks and eye donation centres</t>
  </si>
  <si>
    <t>Free spectacles to school children</t>
  </si>
  <si>
    <t>Free spectacles to others</t>
  </si>
  <si>
    <t>Grant in Aid for the health institutions, Eye Bank, NGO, Private Practioners</t>
  </si>
  <si>
    <t>Other NPCB+VI components</t>
  </si>
  <si>
    <t>Implementation of District Mental Health Plan</t>
  </si>
  <si>
    <t>Geriatric Care at DH</t>
  </si>
  <si>
    <t>Geriatric Care at CHC/SDH</t>
  </si>
  <si>
    <t>Geriatric Care at PHC/ SHC</t>
  </si>
  <si>
    <t xml:space="preserve">Community Based Intervention </t>
  </si>
  <si>
    <t xml:space="preserve">Implementation of COTPA - 2003 </t>
  </si>
  <si>
    <t xml:space="preserve">Implementation of ToEFI guideline </t>
  </si>
  <si>
    <t>Tobacco Cessation</t>
  </si>
  <si>
    <t>NCD Clinics at DH</t>
  </si>
  <si>
    <t>NCD Clinics at CHC/SDH</t>
  </si>
  <si>
    <t>Cardiac Care Unit (CCU/ICU) including STEMI</t>
  </si>
  <si>
    <t>Other NPCDCS Components</t>
  </si>
  <si>
    <t>Haemodialysis Services</t>
  </si>
  <si>
    <t>Peritoneal Dialysis Services</t>
  </si>
  <si>
    <t>Implementation at DH</t>
  </si>
  <si>
    <t>Implementation at CHC/SDH</t>
  </si>
  <si>
    <t>Mobile Dental Units/Van</t>
  </si>
  <si>
    <t>Screening of Deafness</t>
  </si>
  <si>
    <t>Management of Deafness</t>
  </si>
  <si>
    <t>State Specific Initiatives</t>
  </si>
  <si>
    <t>Support for Burn Units</t>
  </si>
  <si>
    <t>Support for Emergency Trauma Care</t>
  </si>
  <si>
    <t>Development and operations of Health &amp; Wellness Centers - Urban</t>
  </si>
  <si>
    <t>Wellness activities at HWCs- Urban</t>
  </si>
  <si>
    <t>Teleconsultation facilities at HWCs-Urban</t>
  </si>
  <si>
    <t>ASHA (including ASHA Certification and ASHA benefit package)</t>
  </si>
  <si>
    <t>MAS</t>
  </si>
  <si>
    <t>JAS</t>
  </si>
  <si>
    <t>RKS</t>
  </si>
  <si>
    <t>Outreach activities</t>
  </si>
  <si>
    <t>Mapping of slums and vulnerable population</t>
  </si>
  <si>
    <t>Other Community Engagement Components</t>
  </si>
  <si>
    <t>Urban PHCs</t>
  </si>
  <si>
    <t>Urban CHCs and Maternity Homes</t>
  </si>
  <si>
    <t>Quality Assurance Implementation &amp; Mera Aspataal</t>
  </si>
  <si>
    <t>Kayakalp</t>
  </si>
  <si>
    <t>Swacch Swasth Sarvatra</t>
  </si>
  <si>
    <t>Incentives(Allowance, Incentives, staff welfare fund)</t>
  </si>
  <si>
    <t>Incentives under CPHC</t>
  </si>
  <si>
    <t>Costs for HR Recruitment and Outsourcing</t>
  </si>
  <si>
    <t xml:space="preserve">Planning and Program Management </t>
  </si>
  <si>
    <t>State specific Programme Innovations and Interventions</t>
  </si>
  <si>
    <t>Untied Fund</t>
  </si>
  <si>
    <t>Development and operations of Health &amp; Wellness Centers - Rural</t>
  </si>
  <si>
    <t>Wellness activities at HWCs- Rural</t>
  </si>
  <si>
    <t>Teleconsultation facilities at HWCs-Rural</t>
  </si>
  <si>
    <t>CHO Mentoring</t>
  </si>
  <si>
    <t>Screening for Blood Disorders</t>
  </si>
  <si>
    <t>Support for Blood Transfusion</t>
  </si>
  <si>
    <t xml:space="preserve">Blood Bank/BCSU/BSU/Thalassemia Day Care Centre </t>
  </si>
  <si>
    <t>Blood collection and Transport Vans</t>
  </si>
  <si>
    <t>Other  Blood Services &amp; Disorders Components</t>
  </si>
  <si>
    <t>VHSNC</t>
  </si>
  <si>
    <t>Other Community Engagements Components</t>
  </si>
  <si>
    <t>District Hospitals</t>
  </si>
  <si>
    <t>Sub-District Hospitals</t>
  </si>
  <si>
    <t>Community Health Centers</t>
  </si>
  <si>
    <t>Primary Health Centers</t>
  </si>
  <si>
    <t>Sub-Health Centers</t>
  </si>
  <si>
    <t>Other Infrastructure/Civil works/expansion etc.</t>
  </si>
  <si>
    <t>Advance Life Saving Ambulances</t>
  </si>
  <si>
    <t>Basic Life Saving Ambulances</t>
  </si>
  <si>
    <t>Patient Transport Vehicle</t>
  </si>
  <si>
    <t>Other Ambulances</t>
  </si>
  <si>
    <t>Comprehensive Grievance Redressal Mechanism</t>
  </si>
  <si>
    <t>Free Drugs Services Initiative</t>
  </si>
  <si>
    <t>Free Diagnostics Services Initiative</t>
  </si>
  <si>
    <t>Mobile Medical Units</t>
  </si>
  <si>
    <t>State specific Programme Interventions and Innovations</t>
  </si>
  <si>
    <t>Biomedical Equipment Management System and AERB</t>
  </si>
  <si>
    <t>Remuneration for CHOs</t>
  </si>
  <si>
    <t>Human Resource Information Systems (HRIS)</t>
  </si>
  <si>
    <t>DNB/CPS courses for Medical doctors</t>
  </si>
  <si>
    <t>Training Institutes and Skill Labs</t>
  </si>
  <si>
    <t>SHSRC / ILC (Innovation &amp; Learning Centre)</t>
  </si>
  <si>
    <t>Health Management Information System (HMIS)</t>
  </si>
  <si>
    <t>Implementation of DVDMS</t>
  </si>
  <si>
    <t>eSanjeevani (OPD+HWC)</t>
  </si>
  <si>
    <t>RCH</t>
  </si>
  <si>
    <t>Health System Strengthening (HSS) - Urban</t>
  </si>
  <si>
    <t>Health System Strengthening (HSS) Rural</t>
  </si>
  <si>
    <t>Maternal Health (excluding Planning &amp; M&amp;E)</t>
  </si>
  <si>
    <t>RCH (including RI, IPPI, NIDDCP)</t>
  </si>
  <si>
    <t>PC &amp; PNDT Act (excluding Planning &amp; M&amp;E)</t>
  </si>
  <si>
    <t>Child Health (excluding Planning &amp; M&amp;E)</t>
  </si>
  <si>
    <t>Immunization (excluding Planning &amp; M&amp;E)</t>
  </si>
  <si>
    <t>Adolescent Health (excluding Planning &amp; M&amp;E)</t>
  </si>
  <si>
    <t>Family Planning (excluding Planning &amp; M&amp;E)</t>
  </si>
  <si>
    <t>Nutrition (excluding Planning &amp; M&amp;E)</t>
  </si>
  <si>
    <t>Implementation of National Iodine Deficiency Disorders Control Programme (NIDDCP) (excluding Planning &amp; M&amp;E)</t>
  </si>
  <si>
    <t>Implementation of Integrated Disease Surveillance Programme (IDSP) (excluding Planning &amp; M&amp;E)</t>
  </si>
  <si>
    <t>National Vector Borne Disease Control Programme (NVBDCP) (excluding Planning &amp; M&amp;E)</t>
  </si>
  <si>
    <t>National Leprosy Eradication Programme (NLEP) (excluding Planning &amp; M&amp;E)</t>
  </si>
  <si>
    <t>National Tuberculosis Elimination Programme (NTEP) (excluding Planning &amp; M&amp;E)</t>
  </si>
  <si>
    <t>National Viral Hepatitis Control Programme (NVHCP) (excluding Planning &amp; M&amp;E)</t>
  </si>
  <si>
    <t>Implementation of National Rabies Control Programme (NRCP) (excluding Planning &amp; M&amp;E)</t>
  </si>
  <si>
    <t>Implementation of Programme for Prevention and Control of Leptospirosis (PPCL) (excluding Planning &amp; M&amp;E)</t>
  </si>
  <si>
    <t>Implementation of State specific Initiatives and Innovations (excluding Planning &amp; M&amp;E)</t>
  </si>
  <si>
    <t>National Program for Control of Blindness and Vision Impairment (NPCB+VI) (excluding Planning &amp; M&amp;E)</t>
  </si>
  <si>
    <t>National Mental Health Program (NMHP) (excluding Planning &amp; M&amp;E)</t>
  </si>
  <si>
    <t>National Programme for Health Care for the Elderly (NPHCE) (excluding Planning &amp; M&amp;E)</t>
  </si>
  <si>
    <t>National Tobacco Control Programme (NTCP) (excluding Planning &amp; M&amp;E)</t>
  </si>
  <si>
    <t>National Programme for Prevention and Control of Diabetes, Cardiovascular Disease and Stroke (NPCDCS) (excluding Planning &amp; M&amp;E)</t>
  </si>
  <si>
    <t>Implementation of National Program for Climate Change and Human Health (NPCCHH)</t>
  </si>
  <si>
    <t>Implementation of National Programme for Prevention and Control of Fluorosis (NPPCF)</t>
  </si>
  <si>
    <t>Human Resources for Health</t>
  </si>
  <si>
    <t>Remuneration for all NHM HR- SD</t>
  </si>
  <si>
    <t>Remuneration for all NHM HR- PM</t>
  </si>
  <si>
    <t>Incentives (Allowance, Incentives, staff welfare fund)</t>
  </si>
  <si>
    <t>HSS(U)</t>
  </si>
  <si>
    <t xml:space="preserve">HSS(R) </t>
  </si>
  <si>
    <t>National Disease Control Programmes (NDCP)</t>
  </si>
  <si>
    <t>Non-Communicable Disease Control Programme (NCD)</t>
  </si>
  <si>
    <t>Pradhan Mantri National Dialysis Programme (PMNDP) (excluding Planning &amp; M&amp;E)</t>
  </si>
  <si>
    <t>National Oral Health Programme (NOHP) (excluding Planning &amp; M&amp;E)</t>
  </si>
  <si>
    <t>Implementation of National Programme on Palliative Care (NPPC) (excluding Planning &amp; M&amp;E)</t>
  </si>
  <si>
    <t>National Programme for Prevention and Control of Deafness (NPPCD) (excluding Planning &amp; M&amp;E)</t>
  </si>
  <si>
    <t>National programme for Prevention and Management of Burn &amp; Injuries (excluding Planning &amp; M&amp;E)</t>
  </si>
  <si>
    <t>Comprehensive Primary Healthcare (CPHC) (excluding Planning &amp; M&amp;E)</t>
  </si>
  <si>
    <t>Community Engagement (excluding Planning &amp; M&amp;E)</t>
  </si>
  <si>
    <t>Public Health Institutions as per IPHS norms (excluding Planning &amp; M&amp;E)</t>
  </si>
  <si>
    <t>Quality Assurance (excluding Planning &amp; M&amp;E)</t>
  </si>
  <si>
    <t>Access (excluding Planning &amp; M&amp;E)</t>
  </si>
  <si>
    <t>Blood Services &amp; Disorders (excluding Planning &amp; M&amp;E)</t>
  </si>
  <si>
    <t>Referral Transport (excluding Planning &amp; M&amp;E)</t>
  </si>
  <si>
    <t>Other Initiatives to improve access (excluding Planning &amp; M&amp;E)</t>
  </si>
  <si>
    <t>Inventory Management (excluding Planning &amp; M&amp;E)</t>
  </si>
  <si>
    <t>Enhancing HR (excluding Planning &amp; M&amp;E)</t>
  </si>
  <si>
    <t>Planning &amp; M&amp;E under other heads</t>
  </si>
  <si>
    <t>IT Interventions and Systems (excluding Planning &amp; M&amp;E)</t>
  </si>
  <si>
    <t>Tribal Patient Support and transportation charges</t>
  </si>
  <si>
    <t>Private Provider Incentive</t>
  </si>
  <si>
    <t>Treatment Supporter Honorarium (Rs 1000)</t>
  </si>
  <si>
    <t>Treatment Supporter Honorarium (Rs 5000)</t>
  </si>
  <si>
    <t>Incentive for Informants (Rs 500)</t>
  </si>
  <si>
    <t>Financial Progress</t>
  </si>
  <si>
    <t>NDCP</t>
  </si>
  <si>
    <t>NCD</t>
  </si>
  <si>
    <t>Program and Technical Assistance</t>
  </si>
  <si>
    <t>Renovation/Repair/Upgradation of facilities for IPHS/NQAS/MUSQAN/SUMAN Compliance</t>
  </si>
  <si>
    <t>Grand Total</t>
  </si>
  <si>
    <t>Case detection and Management</t>
  </si>
  <si>
    <t>DPMR Services: Reconstructive surgeries</t>
  </si>
  <si>
    <t>Budget Allotted as per ROP</t>
  </si>
  <si>
    <t>Infrastructure Maintenance</t>
  </si>
  <si>
    <t>Direction &amp; Administration</t>
  </si>
  <si>
    <t>Sub-Centres</t>
  </si>
  <si>
    <t>Urban Family Welfare Centres (UFWCs)</t>
  </si>
  <si>
    <t>Urban Revamping Scheme (Health Posts)</t>
  </si>
  <si>
    <t>Basic Training for ANM/LHVs</t>
  </si>
  <si>
    <t>Maintenance and Strengthening of Health &amp; FW Training Centres (HFWTCs)</t>
  </si>
  <si>
    <t>Basic Training for MPWs (Male)</t>
  </si>
  <si>
    <t>Total</t>
  </si>
  <si>
    <t>I</t>
  </si>
  <si>
    <t>Flexible Pool for RCH &amp; Health Sysytem Strengthening, National Health programme and National Urban Health Mission</t>
  </si>
  <si>
    <t>II</t>
  </si>
  <si>
    <t>Community Based Care - HBNC &amp; HBYC</t>
  </si>
  <si>
    <t>Dimapur</t>
  </si>
  <si>
    <t>Kiphire</t>
  </si>
  <si>
    <t>Kohima</t>
  </si>
  <si>
    <t>Longleng</t>
  </si>
  <si>
    <t>Mon</t>
  </si>
  <si>
    <t>Mokokchung</t>
  </si>
  <si>
    <t>Noklak</t>
  </si>
  <si>
    <t>Peren</t>
  </si>
  <si>
    <t>Phek</t>
  </si>
  <si>
    <t>Tuensang</t>
  </si>
  <si>
    <t>Wokha</t>
  </si>
  <si>
    <t>Zunheboto</t>
  </si>
  <si>
    <t>State</t>
  </si>
  <si>
    <t>Notes:</t>
  </si>
  <si>
    <t>2. Ensure the fund is distributed as per approvals</t>
  </si>
  <si>
    <t>3. Information to be submitted by 30th Nov 2022.</t>
  </si>
  <si>
    <r>
      <t xml:space="preserve">Bifurcation of Approvals as per ROP for </t>
    </r>
    <r>
      <rPr>
        <b/>
        <sz val="12"/>
        <color rgb="FFFF0000"/>
        <rFont val="Bookman Old Style"/>
        <family val="1"/>
      </rPr>
      <t>input in PMS Portal</t>
    </r>
  </si>
  <si>
    <t>1. Programme Division to insert data for columns filled in Orange colour</t>
  </si>
  <si>
    <t>Data for PMs Portal</t>
  </si>
  <si>
    <t>State Programme/Nodal Officer</t>
  </si>
  <si>
    <t xml:space="preserve"> Finance Consultant/Accounts Manager</t>
  </si>
  <si>
    <t>FMR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</si>
</sst>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Bookman Old Style"/>
      <family val="1"/>
    </font>
    <font>
      <sz val="11"/>
      <name val="Times New Roman"/>
      <family val="1"/>
    </font>
    <font>
      <sz val="12"/>
      <name val="Bookman Old Style"/>
      <family val="1"/>
    </font>
    <font>
      <b/>
      <sz val="12"/>
      <color rgb="FFFF0000"/>
      <name val="Bookman Old Style"/>
      <family val="1"/>
    </font>
    <font>
      <sz val="14"/>
      <name val="Times New Roman"/>
      <family val="1"/>
    </font>
    <font>
      <b/>
      <i/>
      <sz val="14"/>
      <color rgb="FFFF0000"/>
      <name val="Bookman Old Style"/>
      <family val="1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00"/>
      </patternFill>
    </fill>
    <fill>
      <patternFill patternType="solid">
        <fgColor theme="0" tint="-0.14999847407452621"/>
        <bgColor rgb="FFB4C6E7"/>
      </patternFill>
    </fill>
    <fill>
      <patternFill patternType="solid">
        <fgColor theme="3" tint="0.79998168889431442"/>
        <bgColor rgb="FFB4C6E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B4C6E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5" fillId="9" borderId="1" xfId="5" applyFont="1" applyFill="1" applyBorder="1" applyAlignment="1">
      <alignment horizontal="center" vertical="center" textRotation="90" wrapText="1"/>
    </xf>
    <xf numFmtId="0" fontId="6" fillId="0" borderId="0" xfId="6" applyFont="1" applyFill="1" applyAlignment="1" applyProtection="1">
      <alignment vertical="center"/>
      <protection locked="0"/>
    </xf>
    <xf numFmtId="2" fontId="5" fillId="9" borderId="1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43" fontId="5" fillId="6" borderId="1" xfId="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3" fontId="5" fillId="2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3" fontId="7" fillId="0" borderId="1" xfId="5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3" fontId="7" fillId="2" borderId="1" xfId="5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3" fontId="7" fillId="0" borderId="1" xfId="5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left" vertical="center" wrapText="1"/>
    </xf>
    <xf numFmtId="2" fontId="5" fillId="11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5" applyFont="1" applyAlignment="1">
      <alignment horizontal="center" vertical="center"/>
    </xf>
    <xf numFmtId="164" fontId="9" fillId="0" borderId="0" xfId="7" applyFont="1" applyFill="1" applyAlignment="1" applyProtection="1">
      <alignment vertical="center"/>
      <protection locked="0"/>
    </xf>
    <xf numFmtId="164" fontId="9" fillId="0" borderId="0" xfId="7" applyFont="1" applyFill="1" applyAlignment="1" applyProtection="1">
      <alignment horizontal="left"/>
      <protection locked="0"/>
    </xf>
    <xf numFmtId="43" fontId="7" fillId="12" borderId="1" xfId="5" applyFont="1" applyFill="1" applyBorder="1" applyAlignment="1">
      <alignment horizontal="center" vertical="center"/>
    </xf>
    <xf numFmtId="43" fontId="5" fillId="9" borderId="1" xfId="5" applyFont="1" applyFill="1" applyBorder="1" applyAlignment="1">
      <alignment horizontal="center" vertical="center" wrapText="1"/>
    </xf>
    <xf numFmtId="43" fontId="5" fillId="2" borderId="2" xfId="5" applyFont="1" applyFill="1" applyBorder="1" applyAlignment="1">
      <alignment horizontal="center" vertical="center"/>
    </xf>
    <xf numFmtId="43" fontId="7" fillId="13" borderId="1" xfId="0" applyNumberFormat="1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0" fontId="7" fillId="12" borderId="0" xfId="0" applyFont="1" applyFill="1" applyAlignment="1">
      <alignment horizontal="center" vertical="center"/>
    </xf>
    <xf numFmtId="0" fontId="7" fillId="12" borderId="0" xfId="0" applyFont="1" applyFill="1" applyAlignment="1">
      <alignment vertical="center"/>
    </xf>
    <xf numFmtId="43" fontId="7" fillId="12" borderId="0" xfId="5" applyFont="1" applyFill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43" fontId="5" fillId="12" borderId="0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43" fontId="7" fillId="13" borderId="1" xfId="0" applyNumberFormat="1" applyFont="1" applyFill="1" applyBorder="1" applyAlignment="1">
      <alignment vertical="center"/>
    </xf>
    <xf numFmtId="0" fontId="7" fillId="13" borderId="1" xfId="0" applyFont="1" applyFill="1" applyBorder="1" applyAlignment="1">
      <alignment vertical="center"/>
    </xf>
    <xf numFmtId="2" fontId="7" fillId="13" borderId="1" xfId="0" applyNumberFormat="1" applyFont="1" applyFill="1" applyBorder="1" applyAlignment="1">
      <alignment vertical="center"/>
    </xf>
    <xf numFmtId="43" fontId="7" fillId="14" borderId="1" xfId="0" applyNumberFormat="1" applyFont="1" applyFill="1" applyBorder="1" applyAlignment="1">
      <alignment vertical="center"/>
    </xf>
    <xf numFmtId="0" fontId="7" fillId="14" borderId="1" xfId="0" applyFont="1" applyFill="1" applyBorder="1" applyAlignment="1">
      <alignment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vertical="center" wrapText="1"/>
    </xf>
    <xf numFmtId="43" fontId="7" fillId="15" borderId="1" xfId="5" applyFont="1" applyFill="1" applyBorder="1" applyAlignment="1">
      <alignment horizontal="center" vertical="center"/>
    </xf>
    <xf numFmtId="43" fontId="7" fillId="15" borderId="1" xfId="0" applyNumberFormat="1" applyFont="1" applyFill="1" applyBorder="1" applyAlignment="1">
      <alignment vertical="center"/>
    </xf>
    <xf numFmtId="0" fontId="7" fillId="15" borderId="1" xfId="0" applyFont="1" applyFill="1" applyBorder="1" applyAlignment="1">
      <alignment vertical="center"/>
    </xf>
    <xf numFmtId="0" fontId="7" fillId="15" borderId="0" xfId="0" applyFont="1" applyFill="1" applyAlignment="1">
      <alignment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</cellXfs>
  <cellStyles count="9">
    <cellStyle name="Comma" xfId="5" builtinId="3"/>
    <cellStyle name="Comma 10" xfId="4"/>
    <cellStyle name="Comma 13" xfId="3"/>
    <cellStyle name="Comma 2" xfId="2"/>
    <cellStyle name="Comma 2 2" xfId="7"/>
    <cellStyle name="Comma 2 3" xfId="8"/>
    <cellStyle name="Normal" xfId="0" builtinId="0"/>
    <cellStyle name="Normal 2" xfId="1"/>
    <cellStyle name="Normal 6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1"/>
  <sheetViews>
    <sheetView tabSelected="1" topLeftCell="F1" zoomScale="70" zoomScaleNormal="70" workbookViewId="0">
      <selection activeCell="N3" sqref="N3"/>
    </sheetView>
  </sheetViews>
  <sheetFormatPr defaultRowHeight="15.75" x14ac:dyDescent="0.25"/>
  <cols>
    <col min="1" max="1" width="10.28515625" style="28" customWidth="1"/>
    <col min="2" max="2" width="63" style="4" customWidth="1"/>
    <col min="3" max="3" width="20.85546875" style="29" customWidth="1"/>
    <col min="4" max="4" width="18.5703125" style="4" bestFit="1" customWidth="1"/>
    <col min="5" max="5" width="19.7109375" style="4" bestFit="1" customWidth="1"/>
    <col min="6" max="6" width="19.28515625" style="4" bestFit="1" customWidth="1"/>
    <col min="7" max="7" width="19.7109375" style="4" bestFit="1" customWidth="1"/>
    <col min="8" max="8" width="20.85546875" style="4" customWidth="1"/>
    <col min="9" max="9" width="19.5703125" style="4" customWidth="1"/>
    <col min="10" max="10" width="18.28515625" style="4" bestFit="1" customWidth="1"/>
    <col min="11" max="12" width="19.28515625" style="4" customWidth="1"/>
    <col min="13" max="14" width="20.140625" style="4" customWidth="1"/>
    <col min="15" max="15" width="21.140625" style="4" customWidth="1"/>
    <col min="16" max="16" width="24.140625" style="4" customWidth="1"/>
    <col min="17" max="17" width="22" style="4" customWidth="1"/>
    <col min="18" max="16384" width="9.140625" style="4"/>
  </cols>
  <sheetData>
    <row r="1" spans="1:17" ht="36" customHeight="1" x14ac:dyDescent="0.25">
      <c r="A1" s="56" t="s">
        <v>257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6.5" customHeight="1" x14ac:dyDescent="0.25">
      <c r="A2" s="41"/>
      <c r="B2" s="42" t="s">
        <v>252</v>
      </c>
    </row>
    <row r="3" spans="1:17" ht="27" customHeight="1" x14ac:dyDescent="0.25">
      <c r="A3" s="41"/>
      <c r="B3" s="42" t="s">
        <v>256</v>
      </c>
    </row>
    <row r="4" spans="1:17" ht="24" customHeight="1" x14ac:dyDescent="0.25">
      <c r="A4" s="41"/>
      <c r="B4" s="42" t="s">
        <v>253</v>
      </c>
    </row>
    <row r="5" spans="1:17" ht="27" customHeight="1" x14ac:dyDescent="0.25">
      <c r="A5" s="41"/>
      <c r="B5" s="42" t="s">
        <v>254</v>
      </c>
    </row>
    <row r="6" spans="1:17" x14ac:dyDescent="0.25">
      <c r="A6" s="37"/>
      <c r="B6" s="38"/>
      <c r="C6" s="39"/>
    </row>
    <row r="7" spans="1:17" ht="15.75" customHeight="1" x14ac:dyDescent="0.25">
      <c r="A7" s="54" t="s">
        <v>260</v>
      </c>
      <c r="B7" s="54"/>
      <c r="C7" s="33" t="s">
        <v>217</v>
      </c>
      <c r="D7" s="55" t="s">
        <v>255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40"/>
    </row>
    <row r="8" spans="1:17" ht="98.25" customHeight="1" x14ac:dyDescent="0.25">
      <c r="A8" s="54"/>
      <c r="B8" s="54"/>
      <c r="C8" s="1" t="s">
        <v>225</v>
      </c>
      <c r="D8" s="40" t="s">
        <v>239</v>
      </c>
      <c r="E8" s="40" t="s">
        <v>240</v>
      </c>
      <c r="F8" s="40" t="s">
        <v>241</v>
      </c>
      <c r="G8" s="40" t="s">
        <v>242</v>
      </c>
      <c r="H8" s="40" t="s">
        <v>243</v>
      </c>
      <c r="I8" s="40" t="s">
        <v>244</v>
      </c>
      <c r="J8" s="40" t="s">
        <v>245</v>
      </c>
      <c r="K8" s="40" t="s">
        <v>246</v>
      </c>
      <c r="L8" s="40" t="s">
        <v>247</v>
      </c>
      <c r="M8" s="40" t="s">
        <v>248</v>
      </c>
      <c r="N8" s="40" t="s">
        <v>249</v>
      </c>
      <c r="O8" s="40" t="s">
        <v>250</v>
      </c>
      <c r="P8" s="40" t="s">
        <v>251</v>
      </c>
      <c r="Q8" s="40" t="s">
        <v>234</v>
      </c>
    </row>
    <row r="9" spans="1:17" ht="47.25" x14ac:dyDescent="0.25">
      <c r="A9" s="5" t="s">
        <v>235</v>
      </c>
      <c r="B9" s="6" t="s">
        <v>236</v>
      </c>
      <c r="C9" s="3">
        <f>+C10+C80+C114+C164+C196</f>
        <v>21866.769999999997</v>
      </c>
      <c r="D9" s="3">
        <f t="shared" ref="D9:O9" si="0">+D10+D80+D114+D164+D196</f>
        <v>5276324.703136364</v>
      </c>
      <c r="E9" s="3">
        <f t="shared" si="0"/>
        <v>5101027.5631942144</v>
      </c>
      <c r="F9" s="3">
        <f t="shared" si="0"/>
        <v>3935343.2153812922</v>
      </c>
      <c r="G9" s="3">
        <f t="shared" si="0"/>
        <v>2206076.8451710264</v>
      </c>
      <c r="H9" s="3">
        <f t="shared" si="0"/>
        <v>3849715.9162882748</v>
      </c>
      <c r="I9" s="3">
        <f t="shared" si="0"/>
        <v>3402511.1964989337</v>
      </c>
      <c r="J9" s="3">
        <f t="shared" si="0"/>
        <v>1258786.0475271756</v>
      </c>
      <c r="K9" s="3">
        <f t="shared" si="0"/>
        <v>2788122.4377324707</v>
      </c>
      <c r="L9" s="3">
        <f t="shared" si="0"/>
        <v>3105021.5271002245</v>
      </c>
      <c r="M9" s="3">
        <f t="shared" si="0"/>
        <v>3301547.6315000202</v>
      </c>
      <c r="N9" s="3">
        <f t="shared" si="0"/>
        <v>4174176.637000002</v>
      </c>
      <c r="O9" s="3">
        <f t="shared" si="0"/>
        <v>2924040.9550000001</v>
      </c>
      <c r="P9" s="3">
        <f t="shared" ref="P9:Q9" si="1">+P10+P80+P114+P164+P196</f>
        <v>34422352.153999403</v>
      </c>
      <c r="Q9" s="3">
        <f t="shared" si="1"/>
        <v>62696622.930529401</v>
      </c>
    </row>
    <row r="10" spans="1:17" ht="14.45" customHeight="1" x14ac:dyDescent="0.25">
      <c r="A10" s="7" t="s">
        <v>160</v>
      </c>
      <c r="B10" s="8" t="s">
        <v>164</v>
      </c>
      <c r="C10" s="9">
        <f>C11+C30+C33+C45+C49+C57+C68+C79</f>
        <v>3184.3300000000004</v>
      </c>
      <c r="D10" s="9">
        <f t="shared" ref="D10:O10" si="2">D11+D30+D33+D45+D49+D57+D68+D79</f>
        <v>5276265.9824999999</v>
      </c>
      <c r="E10" s="9">
        <f t="shared" si="2"/>
        <v>5101021.4764999999</v>
      </c>
      <c r="F10" s="9">
        <f t="shared" si="2"/>
        <v>3935326.8574999999</v>
      </c>
      <c r="G10" s="9">
        <f t="shared" si="2"/>
        <v>2206071.0989999999</v>
      </c>
      <c r="H10" s="9">
        <f t="shared" si="2"/>
        <v>3849714.0329999998</v>
      </c>
      <c r="I10" s="9">
        <f t="shared" si="2"/>
        <v>3402504.5255</v>
      </c>
      <c r="J10" s="9">
        <f t="shared" si="2"/>
        <v>1258784.2974999999</v>
      </c>
      <c r="K10" s="9">
        <f t="shared" si="2"/>
        <v>2788120.4105000002</v>
      </c>
      <c r="L10" s="9">
        <f t="shared" si="2"/>
        <v>3105019.4350000001</v>
      </c>
      <c r="M10" s="9">
        <f t="shared" si="2"/>
        <v>3301538.3314999999</v>
      </c>
      <c r="N10" s="9">
        <f t="shared" si="2"/>
        <v>4174171.1170000001</v>
      </c>
      <c r="O10" s="9">
        <f t="shared" si="2"/>
        <v>2924039.125</v>
      </c>
      <c r="P10" s="9">
        <f t="shared" ref="P10:Q10" si="3">P11+P30+P33+P45+P49+P57+P68+P79</f>
        <v>34421856.943000004</v>
      </c>
      <c r="Q10" s="9">
        <f t="shared" si="3"/>
        <v>62696085.343500003</v>
      </c>
    </row>
    <row r="11" spans="1:17" ht="32.25" customHeight="1" x14ac:dyDescent="0.25">
      <c r="A11" s="10"/>
      <c r="B11" s="11" t="s">
        <v>163</v>
      </c>
      <c r="C11" s="12">
        <f>SUM(C12:C29)</f>
        <v>1069.74</v>
      </c>
      <c r="D11" s="34">
        <f t="shared" ref="D11:O11" si="4">SUM(D12:D29)</f>
        <v>76.680000000000021</v>
      </c>
      <c r="E11" s="34">
        <f t="shared" si="4"/>
        <v>29.53</v>
      </c>
      <c r="F11" s="34">
        <f t="shared" si="4"/>
        <v>56.17</v>
      </c>
      <c r="G11" s="34">
        <f t="shared" si="4"/>
        <v>18.200000000000003</v>
      </c>
      <c r="H11" s="34">
        <f t="shared" si="4"/>
        <v>56.500000000000007</v>
      </c>
      <c r="I11" s="34">
        <f t="shared" si="4"/>
        <v>42.050000000000004</v>
      </c>
      <c r="J11" s="34">
        <f t="shared" si="4"/>
        <v>12.8</v>
      </c>
      <c r="K11" s="34">
        <f t="shared" si="4"/>
        <v>27.580000000000002</v>
      </c>
      <c r="L11" s="34">
        <f t="shared" si="4"/>
        <v>41.21</v>
      </c>
      <c r="M11" s="34">
        <f t="shared" si="4"/>
        <v>40.89</v>
      </c>
      <c r="N11" s="34">
        <f t="shared" si="4"/>
        <v>42.59</v>
      </c>
      <c r="O11" s="34">
        <f t="shared" si="4"/>
        <v>41.940000000000005</v>
      </c>
      <c r="P11" s="34">
        <f t="shared" ref="P11:Q11" si="5">SUM(P12:P29)</f>
        <v>3344299.15</v>
      </c>
      <c r="Q11" s="34">
        <f t="shared" si="5"/>
        <v>3344000</v>
      </c>
    </row>
    <row r="12" spans="1:17" x14ac:dyDescent="0.25">
      <c r="A12" s="13">
        <v>1</v>
      </c>
      <c r="B12" s="14" t="s">
        <v>0</v>
      </c>
      <c r="C12" s="15">
        <v>93.76</v>
      </c>
      <c r="D12" s="35">
        <v>9.92</v>
      </c>
      <c r="E12" s="35">
        <v>10.84</v>
      </c>
      <c r="F12" s="35">
        <v>7.2</v>
      </c>
      <c r="G12" s="35">
        <v>4.05</v>
      </c>
      <c r="H12" s="35">
        <v>9.4499999999999993</v>
      </c>
      <c r="I12" s="35">
        <v>5.24</v>
      </c>
      <c r="J12" s="35">
        <v>3.6</v>
      </c>
      <c r="K12" s="35">
        <v>6.08</v>
      </c>
      <c r="L12" s="35">
        <v>7.89</v>
      </c>
      <c r="M12" s="35">
        <v>7.68</v>
      </c>
      <c r="N12" s="35">
        <v>9.1999999999999993</v>
      </c>
      <c r="O12" s="35">
        <v>12.51</v>
      </c>
      <c r="P12" s="36">
        <v>0</v>
      </c>
      <c r="Q12" s="36"/>
    </row>
    <row r="13" spans="1:17" x14ac:dyDescent="0.25">
      <c r="A13" s="13">
        <v>2</v>
      </c>
      <c r="B13" s="14" t="s">
        <v>1</v>
      </c>
      <c r="C13" s="15">
        <v>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  <c r="Q13" s="36"/>
    </row>
    <row r="14" spans="1:17" x14ac:dyDescent="0.25">
      <c r="A14" s="13">
        <v>3</v>
      </c>
      <c r="B14" s="14" t="s">
        <v>2</v>
      </c>
      <c r="C14" s="15">
        <v>120.65</v>
      </c>
      <c r="D14" s="35">
        <v>18.5</v>
      </c>
      <c r="E14" s="35">
        <v>6.6</v>
      </c>
      <c r="F14" s="35">
        <v>13.5</v>
      </c>
      <c r="G14" s="35">
        <v>5</v>
      </c>
      <c r="H14" s="35">
        <v>14.5</v>
      </c>
      <c r="I14" s="35">
        <v>10.5</v>
      </c>
      <c r="J14" s="35">
        <v>2.5</v>
      </c>
      <c r="K14" s="35">
        <v>7.1</v>
      </c>
      <c r="L14" s="35">
        <v>10.5</v>
      </c>
      <c r="M14" s="35">
        <v>10.5</v>
      </c>
      <c r="N14" s="35">
        <v>10.5</v>
      </c>
      <c r="O14" s="35">
        <v>9.8000000000000007</v>
      </c>
      <c r="P14" s="36">
        <v>1.1499999999999999</v>
      </c>
      <c r="Q14" s="36"/>
    </row>
    <row r="15" spans="1:17" ht="31.5" x14ac:dyDescent="0.25">
      <c r="A15" s="13">
        <v>4</v>
      </c>
      <c r="B15" s="14" t="s">
        <v>3</v>
      </c>
      <c r="C15" s="15">
        <v>339.23</v>
      </c>
      <c r="D15" s="35">
        <v>12.46</v>
      </c>
      <c r="E15" s="35">
        <v>2.4900000000000002</v>
      </c>
      <c r="F15" s="35">
        <v>8.86</v>
      </c>
      <c r="G15" s="35">
        <v>1.65</v>
      </c>
      <c r="H15" s="35">
        <v>8.25</v>
      </c>
      <c r="I15" s="35">
        <v>6.33</v>
      </c>
      <c r="J15" s="35">
        <v>0.9</v>
      </c>
      <c r="K15" s="35">
        <v>3.11</v>
      </c>
      <c r="L15" s="35">
        <v>5.36</v>
      </c>
      <c r="M15" s="35">
        <v>5.71</v>
      </c>
      <c r="N15" s="35">
        <v>5.45</v>
      </c>
      <c r="O15" s="35">
        <v>4.62</v>
      </c>
      <c r="P15" s="36">
        <v>274.04000000000002</v>
      </c>
      <c r="Q15" s="36"/>
    </row>
    <row r="16" spans="1:17" ht="31.5" x14ac:dyDescent="0.25">
      <c r="A16" s="13">
        <v>5</v>
      </c>
      <c r="B16" s="14" t="s">
        <v>4</v>
      </c>
      <c r="C16" s="15">
        <v>168</v>
      </c>
      <c r="D16" s="35">
        <v>32.200000000000003</v>
      </c>
      <c r="E16" s="35">
        <v>6.3</v>
      </c>
      <c r="F16" s="35">
        <v>23.01</v>
      </c>
      <c r="G16" s="35">
        <v>4.2</v>
      </c>
      <c r="H16" s="35">
        <v>21</v>
      </c>
      <c r="I16" s="35">
        <v>16.38</v>
      </c>
      <c r="J16" s="35">
        <v>2.8</v>
      </c>
      <c r="K16" s="35">
        <v>7.99</v>
      </c>
      <c r="L16" s="35">
        <v>13.86</v>
      </c>
      <c r="M16" s="35">
        <v>14</v>
      </c>
      <c r="N16" s="35">
        <v>14.14</v>
      </c>
      <c r="O16" s="35">
        <v>12.01</v>
      </c>
      <c r="P16" s="36">
        <v>0</v>
      </c>
      <c r="Q16" s="36"/>
    </row>
    <row r="17" spans="1:17" ht="31.5" x14ac:dyDescent="0.25">
      <c r="A17" s="13">
        <v>6</v>
      </c>
      <c r="B17" s="14" t="s">
        <v>5</v>
      </c>
      <c r="C17" s="15">
        <v>27.03</v>
      </c>
      <c r="D17" s="35">
        <v>2</v>
      </c>
      <c r="E17" s="35">
        <v>2</v>
      </c>
      <c r="F17" s="35">
        <v>2</v>
      </c>
      <c r="G17" s="35">
        <v>2</v>
      </c>
      <c r="H17" s="35">
        <v>2</v>
      </c>
      <c r="I17" s="35">
        <v>2</v>
      </c>
      <c r="J17" s="35">
        <v>2</v>
      </c>
      <c r="K17" s="35">
        <v>2</v>
      </c>
      <c r="L17" s="35">
        <v>2</v>
      </c>
      <c r="M17" s="35">
        <v>2</v>
      </c>
      <c r="N17" s="35">
        <v>2</v>
      </c>
      <c r="O17" s="35">
        <v>2</v>
      </c>
      <c r="P17" s="36">
        <v>3</v>
      </c>
      <c r="Q17" s="36"/>
    </row>
    <row r="18" spans="1:17" x14ac:dyDescent="0.25">
      <c r="A18" s="13">
        <v>7</v>
      </c>
      <c r="B18" s="14" t="s">
        <v>6</v>
      </c>
      <c r="C18" s="15">
        <v>12.16</v>
      </c>
      <c r="D18" s="35">
        <v>0.9</v>
      </c>
      <c r="E18" s="35">
        <v>0.6</v>
      </c>
      <c r="F18" s="35">
        <v>0.9</v>
      </c>
      <c r="G18" s="35">
        <v>0.6</v>
      </c>
      <c r="H18" s="35">
        <v>0.6</v>
      </c>
      <c r="I18" s="35">
        <v>0.9</v>
      </c>
      <c r="J18" s="35">
        <v>0.3</v>
      </c>
      <c r="K18" s="35">
        <v>0.6</v>
      </c>
      <c r="L18" s="35">
        <v>0.9</v>
      </c>
      <c r="M18" s="35">
        <v>0.3</v>
      </c>
      <c r="N18" s="35">
        <v>0.6</v>
      </c>
      <c r="O18" s="35">
        <v>0.3</v>
      </c>
      <c r="P18" s="36">
        <v>4.51</v>
      </c>
      <c r="Q18" s="36"/>
    </row>
    <row r="19" spans="1:17" x14ac:dyDescent="0.25">
      <c r="A19" s="13">
        <v>8</v>
      </c>
      <c r="B19" s="14" t="s">
        <v>7</v>
      </c>
      <c r="C19" s="15">
        <v>10.5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6">
        <v>10.5</v>
      </c>
      <c r="Q19" s="36"/>
    </row>
    <row r="20" spans="1:17" x14ac:dyDescent="0.25">
      <c r="A20" s="13">
        <v>9</v>
      </c>
      <c r="B20" s="16" t="s">
        <v>8</v>
      </c>
      <c r="C20" s="15">
        <v>14.46</v>
      </c>
      <c r="D20" s="35">
        <v>0.7</v>
      </c>
      <c r="E20" s="35">
        <v>0.7</v>
      </c>
      <c r="F20" s="35">
        <v>0.7</v>
      </c>
      <c r="G20" s="35">
        <v>0.7</v>
      </c>
      <c r="H20" s="35">
        <v>0.7</v>
      </c>
      <c r="I20" s="35">
        <v>0.7</v>
      </c>
      <c r="J20" s="35">
        <v>0.7</v>
      </c>
      <c r="K20" s="35">
        <v>0.7</v>
      </c>
      <c r="L20" s="35">
        <v>0.7</v>
      </c>
      <c r="M20" s="35">
        <v>0.7</v>
      </c>
      <c r="N20" s="35">
        <v>0.7</v>
      </c>
      <c r="O20" s="35">
        <v>0.7</v>
      </c>
      <c r="P20" s="36">
        <v>5.95</v>
      </c>
      <c r="Q20" s="36"/>
    </row>
    <row r="21" spans="1:17" x14ac:dyDescent="0.25">
      <c r="A21" s="13">
        <v>10</v>
      </c>
      <c r="B21" s="14" t="s">
        <v>9</v>
      </c>
      <c r="C21" s="15">
        <v>33.44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4">
        <v>3344000</v>
      </c>
      <c r="Q21" s="43">
        <v>3344000</v>
      </c>
    </row>
    <row r="22" spans="1:17" x14ac:dyDescent="0.25">
      <c r="A22" s="13">
        <v>11</v>
      </c>
      <c r="B22" s="14" t="s">
        <v>10</v>
      </c>
      <c r="C22" s="15">
        <v>0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  <c r="Q22" s="36"/>
    </row>
    <row r="23" spans="1:17" x14ac:dyDescent="0.25">
      <c r="A23" s="13">
        <v>12</v>
      </c>
      <c r="B23" s="14" t="s">
        <v>11</v>
      </c>
      <c r="C23" s="15">
        <v>0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6"/>
    </row>
    <row r="24" spans="1:17" x14ac:dyDescent="0.25">
      <c r="A24" s="13">
        <v>13</v>
      </c>
      <c r="B24" s="16" t="s">
        <v>12</v>
      </c>
      <c r="C24" s="32">
        <v>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  <c r="Q24" s="36"/>
    </row>
    <row r="25" spans="1:17" x14ac:dyDescent="0.25">
      <c r="A25" s="13">
        <v>14</v>
      </c>
      <c r="B25" s="14" t="s">
        <v>13</v>
      </c>
      <c r="C25" s="15">
        <v>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  <c r="Q25" s="36"/>
    </row>
    <row r="26" spans="1:17" x14ac:dyDescent="0.25">
      <c r="A26" s="13">
        <v>15</v>
      </c>
      <c r="B26" s="14" t="s">
        <v>14</v>
      </c>
      <c r="C26" s="15">
        <v>33.47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6"/>
    </row>
    <row r="27" spans="1:17" x14ac:dyDescent="0.25">
      <c r="A27" s="13">
        <v>16</v>
      </c>
      <c r="B27" s="14" t="s">
        <v>15</v>
      </c>
      <c r="C27" s="15">
        <v>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6"/>
      <c r="Q27" s="36"/>
    </row>
    <row r="28" spans="1:17" x14ac:dyDescent="0.25">
      <c r="A28" s="13">
        <v>17</v>
      </c>
      <c r="B28" s="14" t="s">
        <v>16</v>
      </c>
      <c r="C28" s="15">
        <v>135.72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6"/>
    </row>
    <row r="29" spans="1:17" x14ac:dyDescent="0.25">
      <c r="A29" s="13">
        <v>18</v>
      </c>
      <c r="B29" s="14" t="s">
        <v>17</v>
      </c>
      <c r="C29" s="15">
        <v>81.319999999999993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6"/>
      <c r="Q29" s="36"/>
    </row>
    <row r="30" spans="1:17" x14ac:dyDescent="0.25">
      <c r="A30" s="10"/>
      <c r="B30" s="17" t="s">
        <v>165</v>
      </c>
      <c r="C30" s="12">
        <f>SUM(C31:C32)</f>
        <v>7.31</v>
      </c>
      <c r="D30" s="12">
        <f t="shared" ref="D30:Q30" si="6">SUM(D31:D32)</f>
        <v>0</v>
      </c>
      <c r="E30" s="12">
        <f t="shared" si="6"/>
        <v>0</v>
      </c>
      <c r="F30" s="12">
        <f t="shared" si="6"/>
        <v>0</v>
      </c>
      <c r="G30" s="12">
        <f t="shared" si="6"/>
        <v>0</v>
      </c>
      <c r="H30" s="12">
        <f t="shared" si="6"/>
        <v>0</v>
      </c>
      <c r="I30" s="12">
        <f t="shared" si="6"/>
        <v>0</v>
      </c>
      <c r="J30" s="12">
        <f t="shared" si="6"/>
        <v>0</v>
      </c>
      <c r="K30" s="12">
        <f t="shared" si="6"/>
        <v>0</v>
      </c>
      <c r="L30" s="12">
        <f t="shared" si="6"/>
        <v>0</v>
      </c>
      <c r="M30" s="12">
        <f t="shared" si="6"/>
        <v>0</v>
      </c>
      <c r="N30" s="12">
        <f t="shared" si="6"/>
        <v>0</v>
      </c>
      <c r="O30" s="12">
        <f t="shared" si="6"/>
        <v>0</v>
      </c>
      <c r="P30" s="12">
        <f t="shared" si="6"/>
        <v>0</v>
      </c>
      <c r="Q30" s="12">
        <f t="shared" si="6"/>
        <v>0</v>
      </c>
    </row>
    <row r="31" spans="1:17" x14ac:dyDescent="0.25">
      <c r="A31" s="13">
        <v>19</v>
      </c>
      <c r="B31" s="16" t="s">
        <v>18</v>
      </c>
      <c r="C31" s="15">
        <v>7.31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6"/>
      <c r="Q31" s="36"/>
    </row>
    <row r="32" spans="1:17" ht="31.5" x14ac:dyDescent="0.25">
      <c r="A32" s="13">
        <v>20</v>
      </c>
      <c r="B32" s="16" t="s">
        <v>19</v>
      </c>
      <c r="C32" s="15">
        <v>0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36"/>
    </row>
    <row r="33" spans="1:17" x14ac:dyDescent="0.25">
      <c r="A33" s="10"/>
      <c r="B33" s="11" t="s">
        <v>166</v>
      </c>
      <c r="C33" s="12">
        <f>SUM(C34:C44)</f>
        <v>500.42999999999995</v>
      </c>
      <c r="D33" s="12">
        <f t="shared" ref="D33:Q33" si="7">SUM(D34:D44)</f>
        <v>32.302500000000002</v>
      </c>
      <c r="E33" s="12">
        <f t="shared" si="7"/>
        <v>14.946499999999999</v>
      </c>
      <c r="F33" s="12">
        <f t="shared" si="7"/>
        <v>33.6875</v>
      </c>
      <c r="G33" s="12">
        <f t="shared" si="7"/>
        <v>5.899</v>
      </c>
      <c r="H33" s="12">
        <f t="shared" si="7"/>
        <v>20.532999999999998</v>
      </c>
      <c r="I33" s="12">
        <f t="shared" si="7"/>
        <v>25.4755</v>
      </c>
      <c r="J33" s="12">
        <f t="shared" si="7"/>
        <v>4.4975000000000005</v>
      </c>
      <c r="K33" s="12">
        <f t="shared" si="7"/>
        <v>8.8305000000000007</v>
      </c>
      <c r="L33" s="12">
        <f t="shared" si="7"/>
        <v>11.225000000000001</v>
      </c>
      <c r="M33" s="12">
        <f t="shared" si="7"/>
        <v>10.441500000000001</v>
      </c>
      <c r="N33" s="12">
        <f t="shared" si="7"/>
        <v>11.527000000000001</v>
      </c>
      <c r="O33" s="12">
        <f t="shared" si="7"/>
        <v>10.185</v>
      </c>
      <c r="P33" s="12">
        <f t="shared" si="7"/>
        <v>95.793000000000006</v>
      </c>
      <c r="Q33" s="12">
        <f t="shared" si="7"/>
        <v>285.34350000000001</v>
      </c>
    </row>
    <row r="34" spans="1:17" x14ac:dyDescent="0.25">
      <c r="A34" s="13">
        <v>21</v>
      </c>
      <c r="B34" s="14" t="s">
        <v>20</v>
      </c>
      <c r="C34" s="15">
        <v>125.63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36"/>
    </row>
    <row r="35" spans="1:17" ht="31.5" x14ac:dyDescent="0.25">
      <c r="A35" s="13">
        <v>22</v>
      </c>
      <c r="B35" s="14" t="s">
        <v>21</v>
      </c>
      <c r="C35" s="15">
        <v>58.18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36"/>
    </row>
    <row r="36" spans="1:17" x14ac:dyDescent="0.25">
      <c r="A36" s="13">
        <v>23</v>
      </c>
      <c r="B36" s="16" t="s">
        <v>238</v>
      </c>
      <c r="C36" s="15">
        <v>80.7</v>
      </c>
      <c r="D36" s="35">
        <f>7.69+2.6925</f>
        <v>10.3825</v>
      </c>
      <c r="E36" s="35">
        <f>1.4975+3.925</f>
        <v>5.4224999999999994</v>
      </c>
      <c r="F36" s="35">
        <f>6.67+5.47+2.4075</f>
        <v>14.547500000000001</v>
      </c>
      <c r="G36" s="35">
        <v>1.0249999999999999</v>
      </c>
      <c r="H36" s="35">
        <v>5.0750000000000002</v>
      </c>
      <c r="I36" s="35">
        <f>3.9125+1.475</f>
        <v>5.3875000000000002</v>
      </c>
      <c r="J36" s="35">
        <v>1.1975</v>
      </c>
      <c r="K36" s="35">
        <v>1.9225000000000001</v>
      </c>
      <c r="L36" s="35">
        <v>3.3050000000000002</v>
      </c>
      <c r="M36" s="35">
        <v>2.7875000000000001</v>
      </c>
      <c r="N36" s="35">
        <v>3.3650000000000002</v>
      </c>
      <c r="O36" s="35">
        <v>2.855</v>
      </c>
      <c r="P36" s="36">
        <f>2.835+4.51+10+2.8</f>
        <v>20.145</v>
      </c>
      <c r="Q36" s="35">
        <f>SUM(D36:P36)</f>
        <v>77.417500000000004</v>
      </c>
    </row>
    <row r="37" spans="1:17" x14ac:dyDescent="0.25">
      <c r="A37" s="13">
        <v>24</v>
      </c>
      <c r="B37" s="16" t="s">
        <v>22</v>
      </c>
      <c r="C37" s="15">
        <v>80.180000000000007</v>
      </c>
      <c r="D37" s="35">
        <f>1+0.4+1.6+0.8+1+5</f>
        <v>9.8000000000000007</v>
      </c>
      <c r="E37" s="35">
        <f>2+1.6+0.5</f>
        <v>4.0999999999999996</v>
      </c>
      <c r="F37" s="35">
        <f>2.1+0.8+0.5+1+5</f>
        <v>9.4</v>
      </c>
      <c r="G37" s="35">
        <f>0.55+0.8</f>
        <v>1.35</v>
      </c>
      <c r="H37" s="35">
        <f>1+0.65+0.8+0.5+1+5</f>
        <v>8.9499999999999993</v>
      </c>
      <c r="I37" s="35">
        <f>1+0.8+0.8+0.5+1+5</f>
        <v>9.1</v>
      </c>
      <c r="J37" s="35">
        <f>0.8</f>
        <v>0.8</v>
      </c>
      <c r="K37" s="35">
        <f>0.8+0.7+0.8</f>
        <v>2.2999999999999998</v>
      </c>
      <c r="L37" s="35">
        <f>0.8+0.8</f>
        <v>1.6</v>
      </c>
      <c r="M37" s="35">
        <f>0.8+0.75</f>
        <v>1.55</v>
      </c>
      <c r="N37" s="35">
        <f>0.45+0.8+0.8</f>
        <v>2.0499999999999998</v>
      </c>
      <c r="O37" s="35">
        <f>0.8+0.5</f>
        <v>1.3</v>
      </c>
      <c r="P37" s="36">
        <f>2.1+1.728+0.885+3.127+3.127+14.79+1.84</f>
        <v>27.596999999999998</v>
      </c>
      <c r="Q37" s="35">
        <f t="shared" ref="Q37:Q43" si="8">SUM(D37:P37)</f>
        <v>79.896999999999991</v>
      </c>
    </row>
    <row r="38" spans="1:17" x14ac:dyDescent="0.25">
      <c r="A38" s="13">
        <v>25</v>
      </c>
      <c r="B38" s="16" t="s">
        <v>23</v>
      </c>
      <c r="C38" s="15">
        <v>10.8</v>
      </c>
      <c r="D38" s="35">
        <f>0.57</f>
        <v>0.56999999999999995</v>
      </c>
      <c r="E38" s="35">
        <v>0.36199999999999999</v>
      </c>
      <c r="F38" s="35">
        <v>0.56999999999999995</v>
      </c>
      <c r="G38" s="35">
        <v>0.36199999999999999</v>
      </c>
      <c r="H38" s="35">
        <v>0.67400000000000004</v>
      </c>
      <c r="I38" s="35">
        <v>0.67400000000000004</v>
      </c>
      <c r="J38" s="35"/>
      <c r="K38" s="35">
        <v>0.46600000000000003</v>
      </c>
      <c r="L38" s="35">
        <v>0.56999999999999995</v>
      </c>
      <c r="M38" s="35">
        <v>0.88200000000000001</v>
      </c>
      <c r="N38" s="35">
        <v>0.56999999999999995</v>
      </c>
      <c r="O38" s="35">
        <v>0.67400000000000004</v>
      </c>
      <c r="P38" s="36">
        <f>1.6+0.426+2.4</f>
        <v>4.4260000000000002</v>
      </c>
      <c r="Q38" s="35">
        <f t="shared" si="8"/>
        <v>10.8</v>
      </c>
    </row>
    <row r="39" spans="1:17" x14ac:dyDescent="0.25">
      <c r="A39" s="13">
        <v>26</v>
      </c>
      <c r="B39" s="16" t="s">
        <v>24</v>
      </c>
      <c r="C39" s="15">
        <v>61.21</v>
      </c>
      <c r="D39" s="35">
        <f>0.8+0.85</f>
        <v>1.65</v>
      </c>
      <c r="E39" s="35">
        <f>0.8+0.562</f>
        <v>1.3620000000000001</v>
      </c>
      <c r="F39" s="35">
        <f>0.8+1.17</f>
        <v>1.97</v>
      </c>
      <c r="G39" s="35">
        <f>0.8+0.562</f>
        <v>1.3620000000000001</v>
      </c>
      <c r="H39" s="35">
        <f>0.8+1.234</f>
        <v>2.0339999999999998</v>
      </c>
      <c r="I39" s="35">
        <f>0.8+1.234</f>
        <v>2.0339999999999998</v>
      </c>
      <c r="J39" s="35">
        <v>0.8</v>
      </c>
      <c r="K39" s="35">
        <f>0.8+0.722</f>
        <v>1.522</v>
      </c>
      <c r="L39" s="35">
        <f>0.8+1.81</f>
        <v>2.6100000000000003</v>
      </c>
      <c r="M39" s="35">
        <f>0.8+1.042</f>
        <v>1.8420000000000001</v>
      </c>
      <c r="N39" s="35">
        <f>0.8+1.042</f>
        <v>1.8420000000000001</v>
      </c>
      <c r="O39" s="35">
        <f>0.8+1.106</f>
        <v>1.9060000000000001</v>
      </c>
      <c r="P39" s="36">
        <f>17.5+1.3</f>
        <v>18.8</v>
      </c>
      <c r="Q39" s="35">
        <f t="shared" si="8"/>
        <v>39.733999999999995</v>
      </c>
    </row>
    <row r="40" spans="1:17" x14ac:dyDescent="0.25">
      <c r="A40" s="13">
        <v>27</v>
      </c>
      <c r="B40" s="16" t="s">
        <v>25</v>
      </c>
      <c r="C40" s="15">
        <v>8.27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>
        <f>1.4+6.874+2.98</f>
        <v>11.254</v>
      </c>
      <c r="Q40" s="35">
        <f t="shared" si="8"/>
        <v>11.254</v>
      </c>
    </row>
    <row r="41" spans="1:17" ht="31.5" x14ac:dyDescent="0.25">
      <c r="A41" s="13">
        <v>28</v>
      </c>
      <c r="B41" s="14" t="s">
        <v>3</v>
      </c>
      <c r="C41" s="15">
        <v>7.5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6">
        <v>7.5</v>
      </c>
      <c r="Q41" s="35">
        <f t="shared" si="8"/>
        <v>7.5</v>
      </c>
    </row>
    <row r="42" spans="1:17" ht="31.5" x14ac:dyDescent="0.25">
      <c r="A42" s="13">
        <v>29</v>
      </c>
      <c r="B42" s="14" t="s">
        <v>4</v>
      </c>
      <c r="C42" s="15">
        <v>25</v>
      </c>
      <c r="D42" s="35">
        <v>7</v>
      </c>
      <c r="E42" s="35">
        <v>1.7</v>
      </c>
      <c r="F42" s="35">
        <v>5</v>
      </c>
      <c r="G42" s="35">
        <v>0.5</v>
      </c>
      <c r="H42" s="35">
        <v>1.5</v>
      </c>
      <c r="I42" s="35">
        <v>3</v>
      </c>
      <c r="J42" s="35">
        <v>0.3</v>
      </c>
      <c r="K42" s="35">
        <v>0.8</v>
      </c>
      <c r="L42" s="35">
        <v>1.5</v>
      </c>
      <c r="M42" s="35">
        <v>0.7</v>
      </c>
      <c r="N42" s="35">
        <v>1.5</v>
      </c>
      <c r="O42" s="35">
        <v>1.5</v>
      </c>
      <c r="P42" s="36">
        <v>0</v>
      </c>
      <c r="Q42" s="35">
        <f t="shared" si="8"/>
        <v>25</v>
      </c>
    </row>
    <row r="43" spans="1:17" x14ac:dyDescent="0.25">
      <c r="A43" s="13">
        <v>30</v>
      </c>
      <c r="B43" s="14" t="s">
        <v>26</v>
      </c>
      <c r="C43" s="15">
        <v>42.96</v>
      </c>
      <c r="D43" s="43">
        <v>2.9</v>
      </c>
      <c r="E43" s="43">
        <v>2</v>
      </c>
      <c r="F43" s="43">
        <v>2.2000000000000002</v>
      </c>
      <c r="G43" s="43">
        <v>1.3</v>
      </c>
      <c r="H43" s="43">
        <v>2.2999999999999998</v>
      </c>
      <c r="I43" s="43">
        <v>5.28</v>
      </c>
      <c r="J43" s="43">
        <v>1.4</v>
      </c>
      <c r="K43" s="43">
        <v>1.82</v>
      </c>
      <c r="L43" s="43">
        <v>1.64</v>
      </c>
      <c r="M43" s="43">
        <v>2.68</v>
      </c>
      <c r="N43" s="43">
        <v>2.2000000000000002</v>
      </c>
      <c r="O43" s="43">
        <v>1.95</v>
      </c>
      <c r="P43" s="44">
        <v>6.0709999999999997</v>
      </c>
      <c r="Q43" s="35">
        <f t="shared" si="8"/>
        <v>33.741</v>
      </c>
    </row>
    <row r="44" spans="1:17" ht="21.75" customHeight="1" x14ac:dyDescent="0.25">
      <c r="A44" s="13">
        <v>31</v>
      </c>
      <c r="B44" s="14" t="s">
        <v>17</v>
      </c>
      <c r="C44" s="15">
        <v>0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6"/>
    </row>
    <row r="45" spans="1:17" x14ac:dyDescent="0.25">
      <c r="A45" s="10"/>
      <c r="B45" s="11" t="s">
        <v>167</v>
      </c>
      <c r="C45" s="12">
        <f>SUM(C46:C48)</f>
        <v>503.22</v>
      </c>
      <c r="D45" s="12">
        <f t="shared" ref="D45:Q45" si="9">SUM(D46:D48)</f>
        <v>0</v>
      </c>
      <c r="E45" s="12">
        <f t="shared" si="9"/>
        <v>0</v>
      </c>
      <c r="F45" s="12">
        <f t="shared" si="9"/>
        <v>0</v>
      </c>
      <c r="G45" s="12">
        <f t="shared" si="9"/>
        <v>0</v>
      </c>
      <c r="H45" s="12">
        <f t="shared" si="9"/>
        <v>0</v>
      </c>
      <c r="I45" s="12">
        <f t="shared" si="9"/>
        <v>0</v>
      </c>
      <c r="J45" s="12">
        <f t="shared" si="9"/>
        <v>0</v>
      </c>
      <c r="K45" s="12">
        <f t="shared" si="9"/>
        <v>0</v>
      </c>
      <c r="L45" s="12">
        <f t="shared" si="9"/>
        <v>0</v>
      </c>
      <c r="M45" s="12">
        <f t="shared" si="9"/>
        <v>0</v>
      </c>
      <c r="N45" s="12">
        <f t="shared" si="9"/>
        <v>0</v>
      </c>
      <c r="O45" s="12">
        <f t="shared" si="9"/>
        <v>0</v>
      </c>
      <c r="P45" s="12">
        <f t="shared" si="9"/>
        <v>0</v>
      </c>
      <c r="Q45" s="12">
        <f t="shared" si="9"/>
        <v>0</v>
      </c>
    </row>
    <row r="46" spans="1:17" x14ac:dyDescent="0.25">
      <c r="A46" s="13">
        <v>32</v>
      </c>
      <c r="B46" s="16" t="s">
        <v>27</v>
      </c>
      <c r="C46" s="15">
        <v>385.88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6"/>
      <c r="Q46" s="36"/>
    </row>
    <row r="47" spans="1:17" x14ac:dyDescent="0.25">
      <c r="A47" s="13">
        <v>33</v>
      </c>
      <c r="B47" s="16" t="s">
        <v>28</v>
      </c>
      <c r="C47" s="15">
        <v>42.56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  <c r="Q47" s="36"/>
    </row>
    <row r="48" spans="1:17" x14ac:dyDescent="0.25">
      <c r="A48" s="13">
        <v>34</v>
      </c>
      <c r="B48" s="16" t="s">
        <v>29</v>
      </c>
      <c r="C48" s="15">
        <v>74.78</v>
      </c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Q48" s="36"/>
    </row>
    <row r="49" spans="1:17" x14ac:dyDescent="0.25">
      <c r="A49" s="10"/>
      <c r="B49" s="11" t="s">
        <v>168</v>
      </c>
      <c r="C49" s="12">
        <f>SUM(C50:C56)</f>
        <v>129.38</v>
      </c>
      <c r="D49" s="12">
        <f t="shared" ref="D49:Q49" si="10">SUM(D50:D56)</f>
        <v>250200</v>
      </c>
      <c r="E49" s="12">
        <f t="shared" si="10"/>
        <v>2605400</v>
      </c>
      <c r="F49" s="12">
        <f t="shared" si="10"/>
        <v>646600</v>
      </c>
      <c r="G49" s="12">
        <f t="shared" si="10"/>
        <v>133800</v>
      </c>
      <c r="H49" s="12">
        <f t="shared" si="10"/>
        <v>374900</v>
      </c>
      <c r="I49" s="12">
        <f t="shared" si="10"/>
        <v>472200</v>
      </c>
      <c r="J49" s="12">
        <f t="shared" si="10"/>
        <v>213200</v>
      </c>
      <c r="K49" s="12">
        <f t="shared" si="10"/>
        <v>348800</v>
      </c>
      <c r="L49" s="12">
        <f t="shared" si="10"/>
        <v>182600</v>
      </c>
      <c r="M49" s="12">
        <f t="shared" si="10"/>
        <v>337000</v>
      </c>
      <c r="N49" s="12">
        <f t="shared" si="10"/>
        <v>1029200</v>
      </c>
      <c r="O49" s="12">
        <f t="shared" si="10"/>
        <v>158200</v>
      </c>
      <c r="P49" s="12">
        <f t="shared" si="10"/>
        <v>6295463</v>
      </c>
      <c r="Q49" s="12">
        <f t="shared" si="10"/>
        <v>0</v>
      </c>
    </row>
    <row r="50" spans="1:17" x14ac:dyDescent="0.25">
      <c r="A50" s="13">
        <v>35</v>
      </c>
      <c r="B50" s="14" t="s">
        <v>30</v>
      </c>
      <c r="C50" s="15">
        <v>8.1999999999999993</v>
      </c>
      <c r="D50" s="43">
        <v>40000</v>
      </c>
      <c r="E50" s="43">
        <v>20000</v>
      </c>
      <c r="F50" s="43">
        <v>50000</v>
      </c>
      <c r="G50" s="43">
        <v>20000</v>
      </c>
      <c r="H50" s="43">
        <v>30000</v>
      </c>
      <c r="I50" s="43">
        <v>40000</v>
      </c>
      <c r="J50" s="43">
        <v>10000</v>
      </c>
      <c r="K50" s="43">
        <v>20000</v>
      </c>
      <c r="L50" s="43">
        <v>40000</v>
      </c>
      <c r="M50" s="43">
        <v>20000</v>
      </c>
      <c r="N50" s="43">
        <v>50000</v>
      </c>
      <c r="O50" s="43">
        <v>30000</v>
      </c>
      <c r="P50" s="44">
        <v>450000</v>
      </c>
      <c r="Q50" s="36"/>
    </row>
    <row r="51" spans="1:17" x14ac:dyDescent="0.25">
      <c r="A51" s="13">
        <v>36</v>
      </c>
      <c r="B51" s="16" t="s">
        <v>31</v>
      </c>
      <c r="C51" s="15">
        <v>47.57</v>
      </c>
      <c r="D51" s="43">
        <f>15000+50000</f>
        <v>65000</v>
      </c>
      <c r="E51" s="43">
        <f>15000+50000+200000</f>
        <v>265000</v>
      </c>
      <c r="F51" s="43">
        <f>65000+200000</f>
        <v>265000</v>
      </c>
      <c r="G51" s="43">
        <v>65000</v>
      </c>
      <c r="H51" s="43">
        <v>65000</v>
      </c>
      <c r="I51" s="43">
        <v>65000</v>
      </c>
      <c r="J51" s="43">
        <v>65000</v>
      </c>
      <c r="K51" s="43">
        <f>65000+200000</f>
        <v>265000</v>
      </c>
      <c r="L51" s="43">
        <v>65000</v>
      </c>
      <c r="M51" s="43">
        <v>65000</v>
      </c>
      <c r="N51" s="43">
        <v>650000</v>
      </c>
      <c r="O51" s="43">
        <v>65000</v>
      </c>
      <c r="P51" s="44">
        <f>20000+1079000+1693000</f>
        <v>2792000</v>
      </c>
      <c r="Q51" s="36"/>
    </row>
    <row r="52" spans="1:17" x14ac:dyDescent="0.25">
      <c r="A52" s="13">
        <v>37</v>
      </c>
      <c r="B52" s="16" t="s">
        <v>32</v>
      </c>
      <c r="C52" s="15">
        <v>22.19</v>
      </c>
      <c r="D52" s="43">
        <v>0</v>
      </c>
      <c r="E52" s="43">
        <v>2132800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/>
      <c r="O52" s="43">
        <v>0</v>
      </c>
      <c r="P52" s="44">
        <v>86500</v>
      </c>
      <c r="Q52" s="36"/>
    </row>
    <row r="53" spans="1:17" x14ac:dyDescent="0.25">
      <c r="A53" s="13">
        <v>38</v>
      </c>
      <c r="B53" s="14" t="s">
        <v>33</v>
      </c>
      <c r="C53" s="15">
        <v>34.24</v>
      </c>
      <c r="D53" s="43">
        <v>67600</v>
      </c>
      <c r="E53" s="43">
        <v>123800</v>
      </c>
      <c r="F53" s="43">
        <v>224600</v>
      </c>
      <c r="G53" s="43">
        <v>0</v>
      </c>
      <c r="H53" s="43">
        <v>216700</v>
      </c>
      <c r="I53" s="43">
        <v>289600</v>
      </c>
      <c r="J53" s="43">
        <v>103800</v>
      </c>
      <c r="K53" s="43">
        <v>0</v>
      </c>
      <c r="L53" s="43">
        <v>0</v>
      </c>
      <c r="M53" s="43">
        <v>203200</v>
      </c>
      <c r="N53" s="43">
        <v>237200</v>
      </c>
      <c r="O53" s="43">
        <v>0</v>
      </c>
      <c r="P53" s="44">
        <v>2066763</v>
      </c>
      <c r="Q53" s="36"/>
    </row>
    <row r="54" spans="1:17" ht="31.5" x14ac:dyDescent="0.25">
      <c r="A54" s="13">
        <v>39</v>
      </c>
      <c r="B54" s="16" t="s">
        <v>34</v>
      </c>
      <c r="C54" s="15">
        <v>14.28</v>
      </c>
      <c r="D54" s="43">
        <v>57600</v>
      </c>
      <c r="E54" s="43">
        <v>43800</v>
      </c>
      <c r="F54" s="43">
        <v>87000</v>
      </c>
      <c r="G54" s="43">
        <v>28800</v>
      </c>
      <c r="H54" s="43">
        <v>43200</v>
      </c>
      <c r="I54" s="43">
        <v>57600</v>
      </c>
      <c r="J54" s="43">
        <v>14400</v>
      </c>
      <c r="K54" s="43">
        <v>43800</v>
      </c>
      <c r="L54" s="43">
        <v>57600</v>
      </c>
      <c r="M54" s="43">
        <v>28800</v>
      </c>
      <c r="N54" s="43">
        <v>72000</v>
      </c>
      <c r="O54" s="43">
        <v>43200</v>
      </c>
      <c r="P54" s="44">
        <f>265000+450000+135200</f>
        <v>850200</v>
      </c>
      <c r="Q54" s="36"/>
    </row>
    <row r="55" spans="1:17" x14ac:dyDescent="0.25">
      <c r="A55" s="13">
        <v>40</v>
      </c>
      <c r="B55" s="14" t="s">
        <v>35</v>
      </c>
      <c r="C55" s="15">
        <v>2.9</v>
      </c>
      <c r="D55" s="43">
        <v>20000</v>
      </c>
      <c r="E55" s="43">
        <v>20000</v>
      </c>
      <c r="F55" s="43">
        <v>20000</v>
      </c>
      <c r="G55" s="43">
        <v>20000</v>
      </c>
      <c r="H55" s="43">
        <v>20000</v>
      </c>
      <c r="I55" s="43">
        <v>20000</v>
      </c>
      <c r="J55" s="43">
        <v>20000</v>
      </c>
      <c r="K55" s="43">
        <v>20000</v>
      </c>
      <c r="L55" s="43">
        <v>20000</v>
      </c>
      <c r="M55" s="43">
        <v>20000</v>
      </c>
      <c r="N55" s="43">
        <v>20000</v>
      </c>
      <c r="O55" s="43">
        <v>20000</v>
      </c>
      <c r="P55" s="44">
        <v>50000</v>
      </c>
      <c r="Q55" s="36"/>
    </row>
    <row r="56" spans="1:17" ht="18.75" customHeight="1" x14ac:dyDescent="0.25">
      <c r="A56" s="13">
        <v>41</v>
      </c>
      <c r="B56" s="14" t="s">
        <v>17</v>
      </c>
      <c r="C56" s="15">
        <v>0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36"/>
    </row>
    <row r="57" spans="1:17" x14ac:dyDescent="0.25">
      <c r="A57" s="10"/>
      <c r="B57" s="11" t="s">
        <v>169</v>
      </c>
      <c r="C57" s="12">
        <f>SUM(C58:C67)</f>
        <v>593.51</v>
      </c>
      <c r="D57" s="12">
        <f t="shared" ref="D57:Q57" si="11">SUM(D58:D67)</f>
        <v>5025957</v>
      </c>
      <c r="E57" s="12">
        <f t="shared" si="11"/>
        <v>2495577</v>
      </c>
      <c r="F57" s="12">
        <f t="shared" si="11"/>
        <v>3288637</v>
      </c>
      <c r="G57" s="12">
        <f t="shared" si="11"/>
        <v>2072247</v>
      </c>
      <c r="H57" s="12">
        <f t="shared" si="11"/>
        <v>3474737</v>
      </c>
      <c r="I57" s="12">
        <f t="shared" si="11"/>
        <v>2930237</v>
      </c>
      <c r="J57" s="12">
        <f t="shared" si="11"/>
        <v>1045567</v>
      </c>
      <c r="K57" s="12">
        <f t="shared" si="11"/>
        <v>2439284</v>
      </c>
      <c r="L57" s="12">
        <f t="shared" si="11"/>
        <v>2922367</v>
      </c>
      <c r="M57" s="12">
        <f t="shared" si="11"/>
        <v>2964487</v>
      </c>
      <c r="N57" s="12">
        <f t="shared" si="11"/>
        <v>3144917</v>
      </c>
      <c r="O57" s="12">
        <f t="shared" si="11"/>
        <v>2765787</v>
      </c>
      <c r="P57" s="12">
        <f t="shared" si="11"/>
        <v>24781999</v>
      </c>
      <c r="Q57" s="12">
        <f t="shared" si="11"/>
        <v>59351800</v>
      </c>
    </row>
    <row r="58" spans="1:17" x14ac:dyDescent="0.25">
      <c r="A58" s="13">
        <v>42</v>
      </c>
      <c r="B58" s="14" t="s">
        <v>36</v>
      </c>
      <c r="C58" s="15">
        <v>155.16</v>
      </c>
      <c r="D58" s="46">
        <v>2798950</v>
      </c>
      <c r="E58" s="46">
        <v>556650</v>
      </c>
      <c r="F58" s="46">
        <v>1141750</v>
      </c>
      <c r="G58" s="46">
        <v>209900</v>
      </c>
      <c r="H58" s="46">
        <v>1211950</v>
      </c>
      <c r="I58" s="46">
        <v>742850</v>
      </c>
      <c r="J58" s="46">
        <v>396600</v>
      </c>
      <c r="K58" s="46">
        <v>489100</v>
      </c>
      <c r="L58" s="46">
        <v>784000</v>
      </c>
      <c r="M58" s="46">
        <v>753200</v>
      </c>
      <c r="N58" s="46">
        <v>963150</v>
      </c>
      <c r="O58" s="46">
        <v>618100</v>
      </c>
      <c r="P58" s="47">
        <v>4850000</v>
      </c>
      <c r="Q58" s="46">
        <f>D58+E58+F58+G58+H58+I58+J58+K58+L58+M58+N58+O58+P58</f>
        <v>15516200</v>
      </c>
    </row>
    <row r="59" spans="1:17" x14ac:dyDescent="0.25">
      <c r="A59" s="13">
        <v>43</v>
      </c>
      <c r="B59" s="14" t="s">
        <v>37</v>
      </c>
      <c r="C59" s="15">
        <v>1.96</v>
      </c>
      <c r="D59" s="46">
        <v>28000</v>
      </c>
      <c r="E59" s="46">
        <v>14000</v>
      </c>
      <c r="F59" s="46">
        <v>28000</v>
      </c>
      <c r="G59" s="46">
        <v>14000</v>
      </c>
      <c r="H59" s="46">
        <v>14000</v>
      </c>
      <c r="I59" s="46">
        <v>14000</v>
      </c>
      <c r="J59" s="46">
        <v>14000</v>
      </c>
      <c r="K59" s="46">
        <v>14000</v>
      </c>
      <c r="L59" s="46">
        <v>14000</v>
      </c>
      <c r="M59" s="46">
        <v>14000</v>
      </c>
      <c r="N59" s="46">
        <v>14000</v>
      </c>
      <c r="O59" s="46">
        <v>14000</v>
      </c>
      <c r="P59" s="47">
        <v>0</v>
      </c>
      <c r="Q59" s="46">
        <f t="shared" ref="Q59:Q66" si="12">D59+E59+F59+G59+H59+I59+J59+K59+L59+M59+N59+O59+P59</f>
        <v>196000</v>
      </c>
    </row>
    <row r="60" spans="1:17" x14ac:dyDescent="0.25">
      <c r="A60" s="13">
        <v>44</v>
      </c>
      <c r="B60" s="14" t="s">
        <v>38</v>
      </c>
      <c r="C60" s="15">
        <v>30.66</v>
      </c>
      <c r="D60" s="46">
        <v>68240</v>
      </c>
      <c r="E60" s="46">
        <v>49160</v>
      </c>
      <c r="F60" s="46">
        <v>62620</v>
      </c>
      <c r="G60" s="46">
        <v>23380</v>
      </c>
      <c r="H60" s="46">
        <v>97420</v>
      </c>
      <c r="I60" s="46">
        <v>62620</v>
      </c>
      <c r="J60" s="46">
        <v>36000</v>
      </c>
      <c r="K60" s="46">
        <v>45520</v>
      </c>
      <c r="L60" s="46">
        <v>65900</v>
      </c>
      <c r="M60" s="46">
        <v>64620</v>
      </c>
      <c r="N60" s="46">
        <v>77500</v>
      </c>
      <c r="O60" s="46">
        <v>53620</v>
      </c>
      <c r="P60" s="47">
        <v>2360000</v>
      </c>
      <c r="Q60" s="46">
        <f t="shared" si="12"/>
        <v>3066600</v>
      </c>
    </row>
    <row r="61" spans="1:17" x14ac:dyDescent="0.25">
      <c r="A61" s="13">
        <v>45</v>
      </c>
      <c r="B61" s="14" t="s">
        <v>39</v>
      </c>
      <c r="C61" s="15">
        <v>9.26</v>
      </c>
      <c r="D61" s="46">
        <v>20000</v>
      </c>
      <c r="E61" s="46">
        <v>13200</v>
      </c>
      <c r="F61" s="46">
        <v>30400</v>
      </c>
      <c r="G61" s="46">
        <v>4000</v>
      </c>
      <c r="H61" s="46">
        <v>18000</v>
      </c>
      <c r="I61" s="46">
        <v>18000</v>
      </c>
      <c r="J61" s="46">
        <v>8000</v>
      </c>
      <c r="K61" s="46">
        <v>12000</v>
      </c>
      <c r="L61" s="46">
        <v>19200</v>
      </c>
      <c r="M61" s="46">
        <v>19200</v>
      </c>
      <c r="N61" s="46">
        <v>23200</v>
      </c>
      <c r="O61" s="46">
        <v>14800</v>
      </c>
      <c r="P61" s="47">
        <v>726000</v>
      </c>
      <c r="Q61" s="46">
        <f t="shared" si="12"/>
        <v>926000</v>
      </c>
    </row>
    <row r="62" spans="1:17" x14ac:dyDescent="0.25">
      <c r="A62" s="13">
        <v>46</v>
      </c>
      <c r="B62" s="14" t="s">
        <v>40</v>
      </c>
      <c r="C62" s="15">
        <v>192.85</v>
      </c>
      <c r="D62" s="46">
        <v>1612600</v>
      </c>
      <c r="E62" s="46">
        <v>1504400</v>
      </c>
      <c r="F62" s="46">
        <v>1598700</v>
      </c>
      <c r="G62" s="46">
        <v>1507800</v>
      </c>
      <c r="H62" s="46">
        <v>1621200</v>
      </c>
      <c r="I62" s="46">
        <v>1608600</v>
      </c>
      <c r="J62" s="46">
        <v>275800</v>
      </c>
      <c r="K62" s="46">
        <v>1515500</v>
      </c>
      <c r="L62" s="46">
        <v>1593100</v>
      </c>
      <c r="M62" s="46">
        <v>1632300</v>
      </c>
      <c r="N62" s="46">
        <v>1629900</v>
      </c>
      <c r="O62" s="46">
        <v>1583100</v>
      </c>
      <c r="P62" s="47">
        <v>1602000</v>
      </c>
      <c r="Q62" s="46">
        <f t="shared" si="12"/>
        <v>19285000</v>
      </c>
    </row>
    <row r="63" spans="1:17" x14ac:dyDescent="0.25">
      <c r="A63" s="13">
        <v>47</v>
      </c>
      <c r="B63" s="14" t="s">
        <v>41</v>
      </c>
      <c r="C63" s="15">
        <v>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7">
        <v>500000</v>
      </c>
      <c r="Q63" s="46">
        <f t="shared" si="12"/>
        <v>500000</v>
      </c>
    </row>
    <row r="64" spans="1:17" x14ac:dyDescent="0.25">
      <c r="A64" s="13">
        <v>48</v>
      </c>
      <c r="B64" s="14" t="s">
        <v>42</v>
      </c>
      <c r="C64" s="15">
        <v>39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7">
        <v>3900000</v>
      </c>
      <c r="Q64" s="46">
        <f t="shared" si="12"/>
        <v>3900000</v>
      </c>
    </row>
    <row r="65" spans="1:17" x14ac:dyDescent="0.25">
      <c r="A65" s="13">
        <v>49</v>
      </c>
      <c r="B65" s="14" t="s">
        <v>43</v>
      </c>
      <c r="C65" s="15">
        <v>65.349999999999994</v>
      </c>
      <c r="D65" s="46">
        <v>498167</v>
      </c>
      <c r="E65" s="46">
        <v>358167</v>
      </c>
      <c r="F65" s="46">
        <v>427167</v>
      </c>
      <c r="G65" s="46">
        <v>313167</v>
      </c>
      <c r="H65" s="46">
        <v>512167</v>
      </c>
      <c r="I65" s="46">
        <v>484167</v>
      </c>
      <c r="J65" s="46">
        <v>315167</v>
      </c>
      <c r="K65" s="46">
        <v>363164</v>
      </c>
      <c r="L65" s="46">
        <v>446167</v>
      </c>
      <c r="M65" s="46">
        <v>481167</v>
      </c>
      <c r="N65" s="46">
        <v>437167</v>
      </c>
      <c r="O65" s="46">
        <v>482167</v>
      </c>
      <c r="P65" s="47">
        <v>1416999</v>
      </c>
      <c r="Q65" s="46">
        <f t="shared" si="12"/>
        <v>6535000</v>
      </c>
    </row>
    <row r="66" spans="1:17" x14ac:dyDescent="0.25">
      <c r="A66" s="13">
        <v>50</v>
      </c>
      <c r="B66" s="14" t="s">
        <v>44</v>
      </c>
      <c r="C66" s="15">
        <v>94.27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7">
        <v>9427000</v>
      </c>
      <c r="Q66" s="46">
        <f t="shared" si="12"/>
        <v>9427000</v>
      </c>
    </row>
    <row r="67" spans="1:17" ht="17.25" customHeight="1" x14ac:dyDescent="0.25">
      <c r="A67" s="13">
        <v>51</v>
      </c>
      <c r="B67" s="14" t="s">
        <v>17</v>
      </c>
      <c r="C67" s="15">
        <v>0</v>
      </c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6"/>
      <c r="Q67" s="36"/>
    </row>
    <row r="68" spans="1:17" x14ac:dyDescent="0.25">
      <c r="A68" s="10"/>
      <c r="B68" s="11" t="s">
        <v>170</v>
      </c>
      <c r="C68" s="12">
        <f>SUM(C69:C78)</f>
        <v>372.94000000000005</v>
      </c>
      <c r="D68" s="12">
        <f t="shared" ref="D68:Q68" si="13">SUM(D69:D78)</f>
        <v>0</v>
      </c>
      <c r="E68" s="12">
        <f t="shared" si="13"/>
        <v>0</v>
      </c>
      <c r="F68" s="12">
        <f t="shared" si="13"/>
        <v>0</v>
      </c>
      <c r="G68" s="12">
        <f t="shared" si="13"/>
        <v>0</v>
      </c>
      <c r="H68" s="12">
        <f t="shared" si="13"/>
        <v>0</v>
      </c>
      <c r="I68" s="12">
        <f t="shared" si="13"/>
        <v>0</v>
      </c>
      <c r="J68" s="12">
        <f t="shared" si="13"/>
        <v>0</v>
      </c>
      <c r="K68" s="12">
        <f t="shared" si="13"/>
        <v>0</v>
      </c>
      <c r="L68" s="12">
        <f t="shared" si="13"/>
        <v>0</v>
      </c>
      <c r="M68" s="12">
        <f t="shared" si="13"/>
        <v>0</v>
      </c>
      <c r="N68" s="12">
        <f t="shared" si="13"/>
        <v>0</v>
      </c>
      <c r="O68" s="12">
        <f t="shared" si="13"/>
        <v>0</v>
      </c>
      <c r="P68" s="12">
        <f t="shared" si="13"/>
        <v>0</v>
      </c>
      <c r="Q68" s="12">
        <f t="shared" si="13"/>
        <v>0</v>
      </c>
    </row>
    <row r="69" spans="1:17" x14ac:dyDescent="0.25">
      <c r="A69" s="13">
        <v>52</v>
      </c>
      <c r="B69" s="14" t="s">
        <v>45</v>
      </c>
      <c r="C69" s="15">
        <v>165.68</v>
      </c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6"/>
      <c r="Q69" s="36"/>
    </row>
    <row r="70" spans="1:17" x14ac:dyDescent="0.25">
      <c r="A70" s="13">
        <v>53</v>
      </c>
      <c r="B70" s="14" t="s">
        <v>46</v>
      </c>
      <c r="C70" s="15">
        <v>121.57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36"/>
    </row>
    <row r="71" spans="1:17" x14ac:dyDescent="0.25">
      <c r="A71" s="13">
        <v>54</v>
      </c>
      <c r="B71" s="14" t="s">
        <v>47</v>
      </c>
      <c r="C71" s="15">
        <v>9.5500000000000007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36"/>
    </row>
    <row r="72" spans="1:17" x14ac:dyDescent="0.25">
      <c r="A72" s="13">
        <v>55</v>
      </c>
      <c r="B72" s="14" t="s">
        <v>48</v>
      </c>
      <c r="C72" s="15">
        <v>0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36"/>
    </row>
    <row r="73" spans="1:17" x14ac:dyDescent="0.25">
      <c r="A73" s="13">
        <v>56</v>
      </c>
      <c r="B73" s="14" t="s">
        <v>49</v>
      </c>
      <c r="C73" s="15">
        <v>16.66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6"/>
      <c r="Q73" s="36"/>
    </row>
    <row r="74" spans="1:17" x14ac:dyDescent="0.25">
      <c r="A74" s="13">
        <v>57</v>
      </c>
      <c r="B74" s="14" t="s">
        <v>50</v>
      </c>
      <c r="C74" s="15">
        <v>0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6"/>
      <c r="Q74" s="36"/>
    </row>
    <row r="75" spans="1:17" x14ac:dyDescent="0.25">
      <c r="A75" s="13">
        <v>58</v>
      </c>
      <c r="B75" s="16" t="s">
        <v>51</v>
      </c>
      <c r="C75" s="15">
        <v>47.48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36"/>
    </row>
    <row r="76" spans="1:17" x14ac:dyDescent="0.25">
      <c r="A76" s="13">
        <v>59</v>
      </c>
      <c r="B76" s="14" t="s">
        <v>52</v>
      </c>
      <c r="C76" s="15">
        <v>0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6"/>
      <c r="Q76" s="36"/>
    </row>
    <row r="77" spans="1:17" x14ac:dyDescent="0.25">
      <c r="A77" s="13">
        <v>60</v>
      </c>
      <c r="B77" s="14" t="s">
        <v>53</v>
      </c>
      <c r="C77" s="15">
        <v>12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36"/>
    </row>
    <row r="78" spans="1:17" ht="21" customHeight="1" x14ac:dyDescent="0.25">
      <c r="A78" s="13">
        <v>61</v>
      </c>
      <c r="B78" s="14" t="s">
        <v>17</v>
      </c>
      <c r="C78" s="15">
        <v>0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6"/>
      <c r="Q78" s="36"/>
    </row>
    <row r="79" spans="1:17" ht="54.75" customHeight="1" x14ac:dyDescent="0.25">
      <c r="A79" s="10">
        <v>62</v>
      </c>
      <c r="B79" s="17" t="s">
        <v>171</v>
      </c>
      <c r="C79" s="18">
        <v>7.8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36"/>
    </row>
    <row r="80" spans="1:17" x14ac:dyDescent="0.25">
      <c r="A80" s="19" t="s">
        <v>218</v>
      </c>
      <c r="B80" s="20" t="s">
        <v>193</v>
      </c>
      <c r="C80" s="9">
        <f>C81+C82+C88+C93+C106+C111+C112+C113</f>
        <v>2888.7200000000003</v>
      </c>
      <c r="D80" s="9">
        <f t="shared" ref="D80:Q80" si="14">D81+D82+D88+D93+D106+D111+D112+D113</f>
        <v>1.25</v>
      </c>
      <c r="E80" s="9">
        <f t="shared" si="14"/>
        <v>1.1099999999999999</v>
      </c>
      <c r="F80" s="9">
        <f t="shared" si="14"/>
        <v>4.75</v>
      </c>
      <c r="G80" s="9">
        <f t="shared" si="14"/>
        <v>1.1099999999999999</v>
      </c>
      <c r="H80" s="9">
        <f t="shared" si="14"/>
        <v>1.28</v>
      </c>
      <c r="I80" s="9">
        <f t="shared" si="14"/>
        <v>1.28</v>
      </c>
      <c r="J80" s="9">
        <f t="shared" si="14"/>
        <v>1.1499999999999999</v>
      </c>
      <c r="K80" s="9">
        <f t="shared" si="14"/>
        <v>1.1499999999999999</v>
      </c>
      <c r="L80" s="9">
        <f t="shared" si="14"/>
        <v>1.19</v>
      </c>
      <c r="M80" s="9">
        <f t="shared" si="14"/>
        <v>1.27</v>
      </c>
      <c r="N80" s="9">
        <f t="shared" si="14"/>
        <v>1.19</v>
      </c>
      <c r="O80" s="9">
        <f t="shared" si="14"/>
        <v>1.23</v>
      </c>
      <c r="P80" s="9">
        <f t="shared" si="14"/>
        <v>278.58</v>
      </c>
      <c r="Q80" s="9">
        <f t="shared" si="14"/>
        <v>296.53999999999996</v>
      </c>
    </row>
    <row r="81" spans="1:17" ht="31.5" x14ac:dyDescent="0.25">
      <c r="A81" s="10">
        <v>63</v>
      </c>
      <c r="B81" s="11" t="s">
        <v>172</v>
      </c>
      <c r="C81" s="18">
        <v>99.86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6"/>
      <c r="Q81" s="36"/>
    </row>
    <row r="82" spans="1:17" ht="31.5" x14ac:dyDescent="0.25">
      <c r="A82" s="10"/>
      <c r="B82" s="11" t="s">
        <v>173</v>
      </c>
      <c r="C82" s="12">
        <f>SUM(C83:C87)</f>
        <v>582.33000000000004</v>
      </c>
      <c r="D82" s="12">
        <f t="shared" ref="D82:Q82" si="15">SUM(D83:D87)</f>
        <v>0</v>
      </c>
      <c r="E82" s="12">
        <f t="shared" si="15"/>
        <v>0</v>
      </c>
      <c r="F82" s="12">
        <f t="shared" si="15"/>
        <v>0</v>
      </c>
      <c r="G82" s="12">
        <f t="shared" si="15"/>
        <v>0</v>
      </c>
      <c r="H82" s="12">
        <f t="shared" si="15"/>
        <v>0</v>
      </c>
      <c r="I82" s="12">
        <f t="shared" si="15"/>
        <v>0</v>
      </c>
      <c r="J82" s="12">
        <f t="shared" si="15"/>
        <v>0</v>
      </c>
      <c r="K82" s="12">
        <f t="shared" si="15"/>
        <v>0</v>
      </c>
      <c r="L82" s="12">
        <f t="shared" si="15"/>
        <v>0</v>
      </c>
      <c r="M82" s="12">
        <f t="shared" si="15"/>
        <v>0</v>
      </c>
      <c r="N82" s="12">
        <f t="shared" si="15"/>
        <v>0</v>
      </c>
      <c r="O82" s="12">
        <f t="shared" si="15"/>
        <v>0</v>
      </c>
      <c r="P82" s="12">
        <f t="shared" si="15"/>
        <v>0</v>
      </c>
      <c r="Q82" s="12">
        <f t="shared" si="15"/>
        <v>0</v>
      </c>
    </row>
    <row r="83" spans="1:17" x14ac:dyDescent="0.25">
      <c r="A83" s="13">
        <v>64</v>
      </c>
      <c r="B83" s="16" t="s">
        <v>54</v>
      </c>
      <c r="C83" s="15">
        <v>538.46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6"/>
      <c r="Q83" s="36"/>
    </row>
    <row r="84" spans="1:17" x14ac:dyDescent="0.25">
      <c r="A84" s="13">
        <v>65</v>
      </c>
      <c r="B84" s="16" t="s">
        <v>55</v>
      </c>
      <c r="C84" s="15">
        <v>0</v>
      </c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6"/>
      <c r="Q84" s="36"/>
    </row>
    <row r="85" spans="1:17" x14ac:dyDescent="0.25">
      <c r="A85" s="13">
        <v>66</v>
      </c>
      <c r="B85" s="16" t="s">
        <v>56</v>
      </c>
      <c r="C85" s="15">
        <v>15.07</v>
      </c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6"/>
      <c r="Q85" s="36"/>
    </row>
    <row r="86" spans="1:17" x14ac:dyDescent="0.25">
      <c r="A86" s="13">
        <v>67</v>
      </c>
      <c r="B86" s="16" t="s">
        <v>57</v>
      </c>
      <c r="C86" s="15">
        <v>28.8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6"/>
      <c r="Q86" s="36"/>
    </row>
    <row r="87" spans="1:17" x14ac:dyDescent="0.25">
      <c r="A87" s="13">
        <v>68</v>
      </c>
      <c r="B87" s="16" t="s">
        <v>58</v>
      </c>
      <c r="C87" s="15">
        <v>0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/>
      <c r="Q87" s="36"/>
    </row>
    <row r="88" spans="1:17" ht="48" customHeight="1" x14ac:dyDescent="0.25">
      <c r="A88" s="10"/>
      <c r="B88" s="17" t="s">
        <v>174</v>
      </c>
      <c r="C88" s="12">
        <f>SUM(C89:C92)</f>
        <v>79.169999999999987</v>
      </c>
      <c r="D88" s="12">
        <f t="shared" ref="D88:Q88" si="16">SUM(D89:D92)</f>
        <v>0</v>
      </c>
      <c r="E88" s="12">
        <f t="shared" si="16"/>
        <v>0</v>
      </c>
      <c r="F88" s="12">
        <f t="shared" si="16"/>
        <v>0</v>
      </c>
      <c r="G88" s="12">
        <f t="shared" si="16"/>
        <v>0</v>
      </c>
      <c r="H88" s="12">
        <f t="shared" si="16"/>
        <v>0</v>
      </c>
      <c r="I88" s="12">
        <f t="shared" si="16"/>
        <v>0</v>
      </c>
      <c r="J88" s="12">
        <f t="shared" si="16"/>
        <v>0</v>
      </c>
      <c r="K88" s="12">
        <f t="shared" si="16"/>
        <v>0</v>
      </c>
      <c r="L88" s="12">
        <f t="shared" si="16"/>
        <v>0</v>
      </c>
      <c r="M88" s="12">
        <f t="shared" si="16"/>
        <v>0</v>
      </c>
      <c r="N88" s="12">
        <f t="shared" si="16"/>
        <v>0</v>
      </c>
      <c r="O88" s="12">
        <f t="shared" si="16"/>
        <v>0</v>
      </c>
      <c r="P88" s="12">
        <f t="shared" si="16"/>
        <v>0</v>
      </c>
      <c r="Q88" s="12">
        <f t="shared" si="16"/>
        <v>0</v>
      </c>
    </row>
    <row r="89" spans="1:17" x14ac:dyDescent="0.25">
      <c r="A89" s="13">
        <v>69</v>
      </c>
      <c r="B89" s="16" t="s">
        <v>223</v>
      </c>
      <c r="C89" s="15">
        <v>36.69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6"/>
      <c r="Q89" s="36"/>
    </row>
    <row r="90" spans="1:17" ht="21.75" customHeight="1" x14ac:dyDescent="0.25">
      <c r="A90" s="13">
        <v>70</v>
      </c>
      <c r="B90" s="16" t="s">
        <v>224</v>
      </c>
      <c r="C90" s="15">
        <v>0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6"/>
      <c r="Q90" s="36"/>
    </row>
    <row r="91" spans="1:17" x14ac:dyDescent="0.25">
      <c r="A91" s="13">
        <v>71</v>
      </c>
      <c r="B91" s="16" t="s">
        <v>59</v>
      </c>
      <c r="C91" s="15">
        <v>0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6"/>
      <c r="Q91" s="36"/>
    </row>
    <row r="92" spans="1:17" x14ac:dyDescent="0.25">
      <c r="A92" s="13">
        <v>72</v>
      </c>
      <c r="B92" s="16" t="s">
        <v>60</v>
      </c>
      <c r="C92" s="15">
        <v>42.48</v>
      </c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6"/>
      <c r="Q92" s="36"/>
    </row>
    <row r="93" spans="1:17" ht="31.5" x14ac:dyDescent="0.25">
      <c r="A93" s="10"/>
      <c r="B93" s="17" t="s">
        <v>175</v>
      </c>
      <c r="C93" s="12">
        <f>SUM(C94:C105)</f>
        <v>1806.02</v>
      </c>
      <c r="D93" s="12">
        <f t="shared" ref="D93:Q93" si="17">SUM(D94:D105)</f>
        <v>0</v>
      </c>
      <c r="E93" s="12">
        <f t="shared" si="17"/>
        <v>0</v>
      </c>
      <c r="F93" s="12">
        <f t="shared" si="17"/>
        <v>0</v>
      </c>
      <c r="G93" s="12">
        <f t="shared" si="17"/>
        <v>0</v>
      </c>
      <c r="H93" s="12">
        <f t="shared" si="17"/>
        <v>0</v>
      </c>
      <c r="I93" s="12">
        <f t="shared" si="17"/>
        <v>0</v>
      </c>
      <c r="J93" s="12">
        <f t="shared" si="17"/>
        <v>0</v>
      </c>
      <c r="K93" s="12">
        <f t="shared" si="17"/>
        <v>0</v>
      </c>
      <c r="L93" s="12">
        <f t="shared" si="17"/>
        <v>0</v>
      </c>
      <c r="M93" s="12">
        <f t="shared" si="17"/>
        <v>0</v>
      </c>
      <c r="N93" s="12">
        <f t="shared" si="17"/>
        <v>0</v>
      </c>
      <c r="O93" s="12">
        <f t="shared" si="17"/>
        <v>0</v>
      </c>
      <c r="P93" s="12">
        <f t="shared" si="17"/>
        <v>0</v>
      </c>
      <c r="Q93" s="12">
        <f t="shared" si="17"/>
        <v>0</v>
      </c>
    </row>
    <row r="94" spans="1:17" x14ac:dyDescent="0.25">
      <c r="A94" s="13">
        <v>73.099999999999994</v>
      </c>
      <c r="B94" s="16" t="s">
        <v>61</v>
      </c>
      <c r="C94" s="15">
        <v>526.41</v>
      </c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6"/>
      <c r="Q94" s="36"/>
    </row>
    <row r="95" spans="1:17" x14ac:dyDescent="0.25">
      <c r="A95" s="13">
        <v>73.2</v>
      </c>
      <c r="B95" s="16" t="s">
        <v>214</v>
      </c>
      <c r="C95" s="15">
        <v>0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6"/>
      <c r="Q95" s="36"/>
    </row>
    <row r="96" spans="1:17" x14ac:dyDescent="0.25">
      <c r="A96" s="13">
        <v>73.3</v>
      </c>
      <c r="B96" s="16" t="s">
        <v>215</v>
      </c>
      <c r="C96" s="15">
        <v>0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6"/>
      <c r="Q96" s="36"/>
    </row>
    <row r="97" spans="1:17" x14ac:dyDescent="0.25">
      <c r="A97" s="13">
        <v>73.400000000000006</v>
      </c>
      <c r="B97" s="16" t="s">
        <v>216</v>
      </c>
      <c r="C97" s="15">
        <v>0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6"/>
      <c r="Q97" s="36"/>
    </row>
    <row r="98" spans="1:17" x14ac:dyDescent="0.25">
      <c r="A98" s="13">
        <v>74</v>
      </c>
      <c r="B98" s="16" t="s">
        <v>62</v>
      </c>
      <c r="C98" s="15">
        <v>159</v>
      </c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  <c r="Q98" s="36"/>
    </row>
    <row r="99" spans="1:17" x14ac:dyDescent="0.25">
      <c r="A99" s="13">
        <v>75.099999999999994</v>
      </c>
      <c r="B99" s="16" t="s">
        <v>63</v>
      </c>
      <c r="C99" s="15">
        <v>90.7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6"/>
      <c r="Q99" s="36"/>
    </row>
    <row r="100" spans="1:17" x14ac:dyDescent="0.25">
      <c r="A100" s="13">
        <v>75.2</v>
      </c>
      <c r="B100" s="16" t="s">
        <v>213</v>
      </c>
      <c r="C100" s="15">
        <v>0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6"/>
      <c r="Q100" s="36"/>
    </row>
    <row r="101" spans="1:17" x14ac:dyDescent="0.25">
      <c r="A101" s="13">
        <v>76</v>
      </c>
      <c r="B101" s="16" t="s">
        <v>64</v>
      </c>
      <c r="C101" s="15">
        <v>129.37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6"/>
      <c r="Q101" s="36"/>
    </row>
    <row r="102" spans="1:17" x14ac:dyDescent="0.25">
      <c r="A102" s="13">
        <v>77</v>
      </c>
      <c r="B102" s="16" t="s">
        <v>65</v>
      </c>
      <c r="C102" s="15">
        <v>780.3</v>
      </c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6"/>
      <c r="Q102" s="36"/>
    </row>
    <row r="103" spans="1:17" x14ac:dyDescent="0.25">
      <c r="A103" s="13">
        <v>78</v>
      </c>
      <c r="B103" s="16" t="s">
        <v>66</v>
      </c>
      <c r="C103" s="15">
        <v>82.74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6"/>
      <c r="Q103" s="36"/>
    </row>
    <row r="104" spans="1:17" ht="22.5" customHeight="1" x14ac:dyDescent="0.25">
      <c r="A104" s="13">
        <v>79.099999999999994</v>
      </c>
      <c r="B104" s="14" t="s">
        <v>17</v>
      </c>
      <c r="C104" s="15">
        <v>37.5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6"/>
      <c r="Q104" s="36"/>
    </row>
    <row r="105" spans="1:17" x14ac:dyDescent="0.25">
      <c r="A105" s="13">
        <v>79.2</v>
      </c>
      <c r="B105" s="14" t="s">
        <v>212</v>
      </c>
      <c r="C105" s="1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6"/>
      <c r="Q105" s="36"/>
    </row>
    <row r="106" spans="1:17" ht="31.5" x14ac:dyDescent="0.25">
      <c r="A106" s="10"/>
      <c r="B106" s="11" t="s">
        <v>176</v>
      </c>
      <c r="C106" s="12">
        <f>SUM(C107:C110)</f>
        <v>296.54000000000002</v>
      </c>
      <c r="D106" s="12">
        <f t="shared" ref="D106:Q106" si="18">SUM(D107:D110)</f>
        <v>1.25</v>
      </c>
      <c r="E106" s="12">
        <f t="shared" si="18"/>
        <v>1.1099999999999999</v>
      </c>
      <c r="F106" s="12">
        <f t="shared" si="18"/>
        <v>4.75</v>
      </c>
      <c r="G106" s="12">
        <f t="shared" si="18"/>
        <v>1.1099999999999999</v>
      </c>
      <c r="H106" s="12">
        <f t="shared" si="18"/>
        <v>1.28</v>
      </c>
      <c r="I106" s="12">
        <f t="shared" si="18"/>
        <v>1.28</v>
      </c>
      <c r="J106" s="12">
        <f t="shared" si="18"/>
        <v>1.1499999999999999</v>
      </c>
      <c r="K106" s="12">
        <f t="shared" si="18"/>
        <v>1.1499999999999999</v>
      </c>
      <c r="L106" s="12">
        <f t="shared" si="18"/>
        <v>1.19</v>
      </c>
      <c r="M106" s="12">
        <f t="shared" si="18"/>
        <v>1.27</v>
      </c>
      <c r="N106" s="12">
        <f t="shared" si="18"/>
        <v>1.19</v>
      </c>
      <c r="O106" s="12">
        <f t="shared" si="18"/>
        <v>1.23</v>
      </c>
      <c r="P106" s="12">
        <f t="shared" si="18"/>
        <v>278.58</v>
      </c>
      <c r="Q106" s="12">
        <f t="shared" si="18"/>
        <v>296.53999999999996</v>
      </c>
    </row>
    <row r="107" spans="1:17" x14ac:dyDescent="0.25">
      <c r="A107" s="13">
        <v>80</v>
      </c>
      <c r="B107" s="14" t="s">
        <v>67</v>
      </c>
      <c r="C107" s="15">
        <v>66.62</v>
      </c>
      <c r="D107" s="43">
        <v>0.5</v>
      </c>
      <c r="E107" s="43">
        <v>0.42</v>
      </c>
      <c r="F107" s="43">
        <v>0.5</v>
      </c>
      <c r="G107" s="43">
        <v>0.42</v>
      </c>
      <c r="H107" s="43">
        <v>0.54</v>
      </c>
      <c r="I107" s="43">
        <v>0.54</v>
      </c>
      <c r="J107" s="43">
        <v>0.46</v>
      </c>
      <c r="K107" s="43">
        <v>0.46</v>
      </c>
      <c r="L107" s="43">
        <v>0.5</v>
      </c>
      <c r="M107" s="43">
        <v>0.57999999999999996</v>
      </c>
      <c r="N107" s="43">
        <v>0.5</v>
      </c>
      <c r="O107" s="43">
        <v>0.54</v>
      </c>
      <c r="P107" s="44">
        <v>60.66</v>
      </c>
      <c r="Q107" s="43">
        <f>SUM(D107:P107)</f>
        <v>66.61999999999999</v>
      </c>
    </row>
    <row r="108" spans="1:17" x14ac:dyDescent="0.25">
      <c r="A108" s="13">
        <v>81</v>
      </c>
      <c r="B108" s="14" t="s">
        <v>68</v>
      </c>
      <c r="C108" s="15">
        <v>124.65</v>
      </c>
      <c r="D108" s="43">
        <v>0.25</v>
      </c>
      <c r="E108" s="43">
        <v>0.19</v>
      </c>
      <c r="F108" s="43">
        <v>1.25</v>
      </c>
      <c r="G108" s="43">
        <v>0.19</v>
      </c>
      <c r="H108" s="43">
        <v>0.24</v>
      </c>
      <c r="I108" s="43">
        <v>0.24</v>
      </c>
      <c r="J108" s="43">
        <v>0.19</v>
      </c>
      <c r="K108" s="43">
        <v>0.19</v>
      </c>
      <c r="L108" s="43">
        <v>0.19</v>
      </c>
      <c r="M108" s="43">
        <v>0.19</v>
      </c>
      <c r="N108" s="43">
        <v>0.19</v>
      </c>
      <c r="O108" s="43">
        <v>0.19</v>
      </c>
      <c r="P108" s="44">
        <v>121.15</v>
      </c>
      <c r="Q108" s="43">
        <f>SUM(D108:P108)</f>
        <v>124.65</v>
      </c>
    </row>
    <row r="109" spans="1:17" x14ac:dyDescent="0.25">
      <c r="A109" s="13">
        <v>82</v>
      </c>
      <c r="B109" s="14" t="s">
        <v>69</v>
      </c>
      <c r="C109" s="15">
        <v>0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4"/>
      <c r="Q109" s="44"/>
    </row>
    <row r="110" spans="1:17" x14ac:dyDescent="0.25">
      <c r="A110" s="13">
        <v>83</v>
      </c>
      <c r="B110" s="14" t="s">
        <v>70</v>
      </c>
      <c r="C110" s="15">
        <v>105.27</v>
      </c>
      <c r="D110" s="43">
        <v>0.5</v>
      </c>
      <c r="E110" s="43">
        <v>0.5</v>
      </c>
      <c r="F110" s="43">
        <v>3</v>
      </c>
      <c r="G110" s="43">
        <v>0.5</v>
      </c>
      <c r="H110" s="43">
        <v>0.5</v>
      </c>
      <c r="I110" s="43">
        <v>0.5</v>
      </c>
      <c r="J110" s="43">
        <v>0.5</v>
      </c>
      <c r="K110" s="43">
        <v>0.5</v>
      </c>
      <c r="L110" s="43">
        <v>0.5</v>
      </c>
      <c r="M110" s="43">
        <v>0.5</v>
      </c>
      <c r="N110" s="43">
        <v>0.5</v>
      </c>
      <c r="O110" s="43">
        <v>0.5</v>
      </c>
      <c r="P110" s="44">
        <v>96.77</v>
      </c>
      <c r="Q110" s="43">
        <f>SUM(D110:P110)</f>
        <v>105.27</v>
      </c>
    </row>
    <row r="111" spans="1:17" ht="31.5" x14ac:dyDescent="0.25">
      <c r="A111" s="10">
        <v>84</v>
      </c>
      <c r="B111" s="11" t="s">
        <v>177</v>
      </c>
      <c r="C111" s="18">
        <v>24.8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6"/>
      <c r="Q111" s="36"/>
    </row>
    <row r="112" spans="1:17" ht="47.25" x14ac:dyDescent="0.25">
      <c r="A112" s="10">
        <v>85</v>
      </c>
      <c r="B112" s="11" t="s">
        <v>178</v>
      </c>
      <c r="C112" s="18">
        <v>0</v>
      </c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6"/>
      <c r="Q112" s="36"/>
    </row>
    <row r="113" spans="1:17" ht="31.5" x14ac:dyDescent="0.25">
      <c r="A113" s="10">
        <v>86</v>
      </c>
      <c r="B113" s="11" t="s">
        <v>179</v>
      </c>
      <c r="C113" s="18">
        <v>0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6"/>
      <c r="Q113" s="36"/>
    </row>
    <row r="114" spans="1:17" ht="31.5" x14ac:dyDescent="0.25">
      <c r="A114" s="19" t="s">
        <v>219</v>
      </c>
      <c r="B114" s="21" t="s">
        <v>194</v>
      </c>
      <c r="C114" s="9">
        <f>C115+C126+C129+C135+C139+C145+C149+C154+C155+C156+C160</f>
        <v>1157.1400000000001</v>
      </c>
      <c r="D114" s="9">
        <f t="shared" ref="D114:Q114" si="19">D115+D126+D129+D135+D139+D145+D149+D154+D155+D156+D160</f>
        <v>1.2170000000000001</v>
      </c>
      <c r="E114" s="9">
        <f t="shared" si="19"/>
        <v>0.6</v>
      </c>
      <c r="F114" s="9">
        <f t="shared" si="19"/>
        <v>3.8000000000000003</v>
      </c>
      <c r="G114" s="9">
        <f t="shared" si="19"/>
        <v>4.5999999999999996</v>
      </c>
      <c r="H114" s="9">
        <f t="shared" si="19"/>
        <v>0.6</v>
      </c>
      <c r="I114" s="9">
        <f t="shared" si="19"/>
        <v>1.0106999999999999</v>
      </c>
      <c r="J114" s="9">
        <f t="shared" si="19"/>
        <v>0.6</v>
      </c>
      <c r="K114" s="9">
        <f t="shared" si="19"/>
        <v>0.87722999999999995</v>
      </c>
      <c r="L114" s="9">
        <f t="shared" si="19"/>
        <v>0.90210000000000001</v>
      </c>
      <c r="M114" s="9">
        <f t="shared" si="19"/>
        <v>3.8000000000000003</v>
      </c>
      <c r="N114" s="9">
        <f t="shared" si="19"/>
        <v>0.6</v>
      </c>
      <c r="O114" s="9">
        <f t="shared" si="19"/>
        <v>0.6</v>
      </c>
      <c r="P114" s="9">
        <f t="shared" si="19"/>
        <v>143.721</v>
      </c>
      <c r="Q114" s="9">
        <f t="shared" si="19"/>
        <v>140.27703</v>
      </c>
    </row>
    <row r="115" spans="1:17" ht="47.25" x14ac:dyDescent="0.25">
      <c r="A115" s="10"/>
      <c r="B115" s="11" t="s">
        <v>180</v>
      </c>
      <c r="C115" s="12">
        <f>SUM(C116:C125)</f>
        <v>140.28</v>
      </c>
      <c r="D115" s="12">
        <f t="shared" ref="D115:Q115" si="20">SUM(D116:D125)</f>
        <v>0.61699999999999999</v>
      </c>
      <c r="E115" s="12">
        <f t="shared" si="20"/>
        <v>0</v>
      </c>
      <c r="F115" s="12">
        <f t="shared" si="20"/>
        <v>3.2</v>
      </c>
      <c r="G115" s="12">
        <f t="shared" si="20"/>
        <v>4</v>
      </c>
      <c r="H115" s="12">
        <f t="shared" si="20"/>
        <v>0</v>
      </c>
      <c r="I115" s="12">
        <f t="shared" si="20"/>
        <v>0.41070000000000001</v>
      </c>
      <c r="J115" s="12">
        <f t="shared" si="20"/>
        <v>0</v>
      </c>
      <c r="K115" s="12">
        <f t="shared" si="20"/>
        <v>0.27722999999999998</v>
      </c>
      <c r="L115" s="12">
        <f t="shared" si="20"/>
        <v>0.30210000000000004</v>
      </c>
      <c r="M115" s="12">
        <f t="shared" si="20"/>
        <v>3.2</v>
      </c>
      <c r="N115" s="12">
        <f t="shared" si="20"/>
        <v>0</v>
      </c>
      <c r="O115" s="12">
        <f t="shared" si="20"/>
        <v>0</v>
      </c>
      <c r="P115" s="12">
        <f t="shared" si="20"/>
        <v>128.27000000000001</v>
      </c>
      <c r="Q115" s="12">
        <f t="shared" si="20"/>
        <v>140.27703</v>
      </c>
    </row>
    <row r="116" spans="1:17" x14ac:dyDescent="0.25">
      <c r="A116" s="13">
        <v>87</v>
      </c>
      <c r="B116" s="16" t="s">
        <v>72</v>
      </c>
      <c r="C116" s="15">
        <v>10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6">
        <v>10</v>
      </c>
      <c r="Q116" s="35">
        <f>SUM(D116:P116)</f>
        <v>10</v>
      </c>
    </row>
    <row r="117" spans="1:17" x14ac:dyDescent="0.25">
      <c r="A117" s="13">
        <v>88</v>
      </c>
      <c r="B117" s="16" t="s">
        <v>73</v>
      </c>
      <c r="C117" s="15">
        <v>20</v>
      </c>
      <c r="D117" s="35"/>
      <c r="E117" s="35"/>
      <c r="F117" s="35">
        <v>3</v>
      </c>
      <c r="G117" s="35">
        <v>4</v>
      </c>
      <c r="H117" s="35"/>
      <c r="I117" s="35"/>
      <c r="J117" s="35"/>
      <c r="K117" s="35"/>
      <c r="L117" s="35"/>
      <c r="M117" s="35">
        <v>3</v>
      </c>
      <c r="N117" s="35"/>
      <c r="O117" s="35"/>
      <c r="P117" s="36">
        <f>20-10</f>
        <v>10</v>
      </c>
      <c r="Q117" s="35">
        <f t="shared" ref="Q117:Q124" si="21">SUM(D117:P117)</f>
        <v>20</v>
      </c>
    </row>
    <row r="118" spans="1:17" x14ac:dyDescent="0.25">
      <c r="A118" s="13">
        <v>89</v>
      </c>
      <c r="B118" s="16" t="s">
        <v>74</v>
      </c>
      <c r="C118" s="15">
        <v>0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6"/>
      <c r="Q118" s="35">
        <f t="shared" si="21"/>
        <v>0</v>
      </c>
    </row>
    <row r="119" spans="1:17" x14ac:dyDescent="0.25">
      <c r="A119" s="13">
        <v>90</v>
      </c>
      <c r="B119" s="16" t="s">
        <v>75</v>
      </c>
      <c r="C119" s="15">
        <v>0</v>
      </c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6"/>
      <c r="Q119" s="35">
        <f t="shared" si="21"/>
        <v>0</v>
      </c>
    </row>
    <row r="120" spans="1:17" x14ac:dyDescent="0.25">
      <c r="A120" s="13">
        <v>91</v>
      </c>
      <c r="B120" s="16" t="s">
        <v>76</v>
      </c>
      <c r="C120" s="15">
        <v>3.28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6">
        <v>3.28</v>
      </c>
      <c r="Q120" s="35">
        <f t="shared" si="21"/>
        <v>3.28</v>
      </c>
    </row>
    <row r="121" spans="1:17" ht="31.5" x14ac:dyDescent="0.25">
      <c r="A121" s="13">
        <v>92</v>
      </c>
      <c r="B121" s="16" t="s">
        <v>77</v>
      </c>
      <c r="C121" s="15">
        <v>0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6"/>
      <c r="Q121" s="35">
        <f>SUM(D121:P121)</f>
        <v>0</v>
      </c>
    </row>
    <row r="122" spans="1:17" x14ac:dyDescent="0.25">
      <c r="A122" s="13">
        <v>93</v>
      </c>
      <c r="B122" s="16" t="s">
        <v>78</v>
      </c>
      <c r="C122" s="15">
        <v>17.5</v>
      </c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6">
        <v>17.5</v>
      </c>
      <c r="Q122" s="35">
        <f t="shared" si="21"/>
        <v>17.5</v>
      </c>
    </row>
    <row r="123" spans="1:17" x14ac:dyDescent="0.25">
      <c r="A123" s="13">
        <v>94</v>
      </c>
      <c r="B123" s="16" t="s">
        <v>79</v>
      </c>
      <c r="C123" s="15">
        <v>17.5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6">
        <v>17.5</v>
      </c>
      <c r="Q123" s="35">
        <f t="shared" si="21"/>
        <v>17.5</v>
      </c>
    </row>
    <row r="124" spans="1:17" ht="31.5" x14ac:dyDescent="0.25">
      <c r="A124" s="13">
        <v>95</v>
      </c>
      <c r="B124" s="16" t="s">
        <v>80</v>
      </c>
      <c r="C124" s="15">
        <v>50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6">
        <v>50</v>
      </c>
      <c r="Q124" s="35">
        <f t="shared" si="21"/>
        <v>50</v>
      </c>
    </row>
    <row r="125" spans="1:17" x14ac:dyDescent="0.25">
      <c r="A125" s="13">
        <v>96</v>
      </c>
      <c r="B125" s="16" t="s">
        <v>81</v>
      </c>
      <c r="C125" s="15">
        <v>22</v>
      </c>
      <c r="D125" s="35">
        <f>0.2+0.217+0.2</f>
        <v>0.61699999999999999</v>
      </c>
      <c r="E125" s="35"/>
      <c r="F125" s="35">
        <v>0.2</v>
      </c>
      <c r="G125" s="35"/>
      <c r="H125" s="35"/>
      <c r="I125" s="35">
        <f>0.1157+0.095+0.2</f>
        <v>0.41070000000000001</v>
      </c>
      <c r="J125" s="35"/>
      <c r="K125" s="35">
        <f>0.07723+0.2</f>
        <v>0.27722999999999998</v>
      </c>
      <c r="L125" s="35">
        <f>0.1021+0.2</f>
        <v>0.30210000000000004</v>
      </c>
      <c r="M125" s="35">
        <f>0.2</f>
        <v>0.2</v>
      </c>
      <c r="N125" s="35"/>
      <c r="O125" s="35"/>
      <c r="P125" s="36">
        <f>10+2+7.99</f>
        <v>19.990000000000002</v>
      </c>
      <c r="Q125" s="35">
        <f>SUM(D125:P125)</f>
        <v>21.997030000000002</v>
      </c>
    </row>
    <row r="126" spans="1:17" ht="31.5" x14ac:dyDescent="0.25">
      <c r="A126" s="10"/>
      <c r="B126" s="17" t="s">
        <v>181</v>
      </c>
      <c r="C126" s="12">
        <f>SUM(C127:C128)</f>
        <v>161.61000000000001</v>
      </c>
      <c r="D126" s="12">
        <f t="shared" ref="D126:Q126" si="22">SUM(D127:D128)</f>
        <v>0.6</v>
      </c>
      <c r="E126" s="12">
        <f t="shared" si="22"/>
        <v>0.6</v>
      </c>
      <c r="F126" s="12">
        <f t="shared" si="22"/>
        <v>0.6</v>
      </c>
      <c r="G126" s="12">
        <f t="shared" si="22"/>
        <v>0.6</v>
      </c>
      <c r="H126" s="12">
        <f t="shared" si="22"/>
        <v>0.6</v>
      </c>
      <c r="I126" s="12">
        <f t="shared" si="22"/>
        <v>0.6</v>
      </c>
      <c r="J126" s="12">
        <f t="shared" si="22"/>
        <v>0.6</v>
      </c>
      <c r="K126" s="12">
        <f t="shared" si="22"/>
        <v>0.6</v>
      </c>
      <c r="L126" s="12">
        <f t="shared" si="22"/>
        <v>0.6</v>
      </c>
      <c r="M126" s="12">
        <f t="shared" si="22"/>
        <v>0.6</v>
      </c>
      <c r="N126" s="12">
        <f t="shared" si="22"/>
        <v>0.6</v>
      </c>
      <c r="O126" s="12">
        <f t="shared" si="22"/>
        <v>0.6</v>
      </c>
      <c r="P126" s="12">
        <f t="shared" si="22"/>
        <v>12.471</v>
      </c>
      <c r="Q126" s="12">
        <f t="shared" si="22"/>
        <v>0</v>
      </c>
    </row>
    <row r="127" spans="1:17" x14ac:dyDescent="0.25">
      <c r="A127" s="13">
        <v>97</v>
      </c>
      <c r="B127" s="16" t="s">
        <v>82</v>
      </c>
      <c r="C127" s="15">
        <v>161.61000000000001</v>
      </c>
      <c r="D127" s="43">
        <v>0.6</v>
      </c>
      <c r="E127" s="43">
        <v>0.6</v>
      </c>
      <c r="F127" s="43">
        <v>0.6</v>
      </c>
      <c r="G127" s="43">
        <v>0.6</v>
      </c>
      <c r="H127" s="43">
        <v>0.6</v>
      </c>
      <c r="I127" s="43">
        <v>0.6</v>
      </c>
      <c r="J127" s="43">
        <v>0.6</v>
      </c>
      <c r="K127" s="43">
        <v>0.6</v>
      </c>
      <c r="L127" s="43">
        <v>0.6</v>
      </c>
      <c r="M127" s="43">
        <v>0.6</v>
      </c>
      <c r="N127" s="43">
        <v>0.6</v>
      </c>
      <c r="O127" s="43">
        <v>0.6</v>
      </c>
      <c r="P127" s="44">
        <v>12.471</v>
      </c>
      <c r="Q127" s="36"/>
    </row>
    <row r="128" spans="1:17" ht="22.5" customHeight="1" x14ac:dyDescent="0.25">
      <c r="A128" s="13">
        <v>98</v>
      </c>
      <c r="B128" s="16" t="s">
        <v>17</v>
      </c>
      <c r="C128" s="15">
        <v>0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6"/>
      <c r="Q128" s="36"/>
    </row>
    <row r="129" spans="1:17" ht="31.5" x14ac:dyDescent="0.25">
      <c r="A129" s="10"/>
      <c r="B129" s="11" t="s">
        <v>182</v>
      </c>
      <c r="C129" s="12">
        <f>SUM(C130:C134)</f>
        <v>5.03</v>
      </c>
      <c r="D129" s="12">
        <f t="shared" ref="D129:Q129" si="23">SUM(D130:D134)</f>
        <v>0</v>
      </c>
      <c r="E129" s="12">
        <f t="shared" si="23"/>
        <v>0</v>
      </c>
      <c r="F129" s="12">
        <f t="shared" si="23"/>
        <v>0</v>
      </c>
      <c r="G129" s="12">
        <f t="shared" si="23"/>
        <v>0</v>
      </c>
      <c r="H129" s="12">
        <f t="shared" si="23"/>
        <v>0</v>
      </c>
      <c r="I129" s="12">
        <f t="shared" si="23"/>
        <v>0</v>
      </c>
      <c r="J129" s="12">
        <f t="shared" si="23"/>
        <v>0</v>
      </c>
      <c r="K129" s="12">
        <f t="shared" si="23"/>
        <v>0</v>
      </c>
      <c r="L129" s="12">
        <f t="shared" si="23"/>
        <v>0</v>
      </c>
      <c r="M129" s="12">
        <f t="shared" si="23"/>
        <v>0</v>
      </c>
      <c r="N129" s="12">
        <f t="shared" si="23"/>
        <v>0</v>
      </c>
      <c r="O129" s="12">
        <f t="shared" si="23"/>
        <v>0</v>
      </c>
      <c r="P129" s="12">
        <f t="shared" si="23"/>
        <v>0</v>
      </c>
      <c r="Q129" s="12">
        <f t="shared" si="23"/>
        <v>0</v>
      </c>
    </row>
    <row r="130" spans="1:17" x14ac:dyDescent="0.25">
      <c r="A130" s="13">
        <v>99</v>
      </c>
      <c r="B130" s="16" t="s">
        <v>83</v>
      </c>
      <c r="C130" s="15">
        <v>0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6"/>
      <c r="Q130" s="36"/>
    </row>
    <row r="131" spans="1:17" x14ac:dyDescent="0.25">
      <c r="A131" s="13">
        <v>100</v>
      </c>
      <c r="B131" s="16" t="s">
        <v>84</v>
      </c>
      <c r="C131" s="15">
        <v>0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6"/>
      <c r="Q131" s="36"/>
    </row>
    <row r="132" spans="1:17" x14ac:dyDescent="0.25">
      <c r="A132" s="13">
        <v>101</v>
      </c>
      <c r="B132" s="16" t="s">
        <v>85</v>
      </c>
      <c r="C132" s="15">
        <v>4.33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6"/>
      <c r="Q132" s="36"/>
    </row>
    <row r="133" spans="1:17" x14ac:dyDescent="0.25">
      <c r="A133" s="13">
        <v>102</v>
      </c>
      <c r="B133" s="16" t="s">
        <v>86</v>
      </c>
      <c r="C133" s="15">
        <v>0.7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6"/>
      <c r="Q133" s="36"/>
    </row>
    <row r="134" spans="1:17" ht="21.75" customHeight="1" x14ac:dyDescent="0.25">
      <c r="A134" s="13">
        <v>103</v>
      </c>
      <c r="B134" s="16" t="s">
        <v>17</v>
      </c>
      <c r="C134" s="15">
        <v>0</v>
      </c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6"/>
      <c r="Q134" s="36"/>
    </row>
    <row r="135" spans="1:17" ht="31.5" x14ac:dyDescent="0.25">
      <c r="A135" s="10"/>
      <c r="B135" s="11" t="s">
        <v>183</v>
      </c>
      <c r="C135" s="12">
        <f>SUM(C136:C138)</f>
        <v>142.9</v>
      </c>
      <c r="D135" s="12">
        <f t="shared" ref="D135:Q135" si="24">SUM(D136:D138)</f>
        <v>0</v>
      </c>
      <c r="E135" s="12">
        <f t="shared" si="24"/>
        <v>0</v>
      </c>
      <c r="F135" s="12">
        <f t="shared" si="24"/>
        <v>0</v>
      </c>
      <c r="G135" s="12">
        <f t="shared" si="24"/>
        <v>0</v>
      </c>
      <c r="H135" s="12">
        <f t="shared" si="24"/>
        <v>0</v>
      </c>
      <c r="I135" s="12">
        <f t="shared" si="24"/>
        <v>0</v>
      </c>
      <c r="J135" s="12">
        <f t="shared" si="24"/>
        <v>0</v>
      </c>
      <c r="K135" s="12">
        <f t="shared" si="24"/>
        <v>0</v>
      </c>
      <c r="L135" s="12">
        <f t="shared" si="24"/>
        <v>0</v>
      </c>
      <c r="M135" s="12">
        <f t="shared" si="24"/>
        <v>0</v>
      </c>
      <c r="N135" s="12">
        <f t="shared" si="24"/>
        <v>0</v>
      </c>
      <c r="O135" s="12">
        <f t="shared" si="24"/>
        <v>0</v>
      </c>
      <c r="P135" s="12">
        <f t="shared" si="24"/>
        <v>0</v>
      </c>
      <c r="Q135" s="12">
        <f t="shared" si="24"/>
        <v>0</v>
      </c>
    </row>
    <row r="136" spans="1:17" x14ac:dyDescent="0.25">
      <c r="A136" s="13">
        <v>104</v>
      </c>
      <c r="B136" s="16" t="s">
        <v>87</v>
      </c>
      <c r="C136" s="15">
        <v>49.07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6"/>
      <c r="Q136" s="36"/>
    </row>
    <row r="137" spans="1:17" x14ac:dyDescent="0.25">
      <c r="A137" s="13">
        <v>105</v>
      </c>
      <c r="B137" s="14" t="s">
        <v>88</v>
      </c>
      <c r="C137" s="15">
        <v>32.11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6"/>
      <c r="Q137" s="36"/>
    </row>
    <row r="138" spans="1:17" x14ac:dyDescent="0.25">
      <c r="A138" s="13">
        <v>106</v>
      </c>
      <c r="B138" s="16" t="s">
        <v>89</v>
      </c>
      <c r="C138" s="15">
        <v>61.72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6"/>
      <c r="Q138" s="36"/>
    </row>
    <row r="139" spans="1:17" ht="47.25" x14ac:dyDescent="0.25">
      <c r="A139" s="10"/>
      <c r="B139" s="17" t="s">
        <v>184</v>
      </c>
      <c r="C139" s="12">
        <f>SUM(C140:C144)</f>
        <v>312.26</v>
      </c>
      <c r="D139" s="12">
        <f t="shared" ref="D139:Q139" si="25">SUM(D140:D144)</f>
        <v>0</v>
      </c>
      <c r="E139" s="12">
        <f t="shared" si="25"/>
        <v>0</v>
      </c>
      <c r="F139" s="12">
        <f t="shared" si="25"/>
        <v>0</v>
      </c>
      <c r="G139" s="12">
        <f t="shared" si="25"/>
        <v>0</v>
      </c>
      <c r="H139" s="12">
        <f t="shared" si="25"/>
        <v>0</v>
      </c>
      <c r="I139" s="12">
        <f t="shared" si="25"/>
        <v>0</v>
      </c>
      <c r="J139" s="12">
        <f t="shared" si="25"/>
        <v>0</v>
      </c>
      <c r="K139" s="12">
        <f t="shared" si="25"/>
        <v>0</v>
      </c>
      <c r="L139" s="12">
        <f t="shared" si="25"/>
        <v>0</v>
      </c>
      <c r="M139" s="12">
        <f t="shared" si="25"/>
        <v>0</v>
      </c>
      <c r="N139" s="12">
        <f t="shared" si="25"/>
        <v>0</v>
      </c>
      <c r="O139" s="12">
        <f t="shared" si="25"/>
        <v>0</v>
      </c>
      <c r="P139" s="12">
        <f t="shared" si="25"/>
        <v>0</v>
      </c>
      <c r="Q139" s="12">
        <f t="shared" si="25"/>
        <v>0</v>
      </c>
    </row>
    <row r="140" spans="1:17" x14ac:dyDescent="0.25">
      <c r="A140" s="13">
        <v>107</v>
      </c>
      <c r="B140" s="16" t="s">
        <v>90</v>
      </c>
      <c r="C140" s="15">
        <v>44.87</v>
      </c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6"/>
      <c r="Q140" s="36"/>
    </row>
    <row r="141" spans="1:17" x14ac:dyDescent="0.25">
      <c r="A141" s="13">
        <v>108</v>
      </c>
      <c r="B141" s="16" t="s">
        <v>91</v>
      </c>
      <c r="C141" s="15">
        <v>23.28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6"/>
      <c r="Q141" s="36"/>
    </row>
    <row r="142" spans="1:17" x14ac:dyDescent="0.25">
      <c r="A142" s="13">
        <v>109</v>
      </c>
      <c r="B142" s="16" t="s">
        <v>92</v>
      </c>
      <c r="C142" s="15">
        <v>20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6"/>
      <c r="Q142" s="36"/>
    </row>
    <row r="143" spans="1:17" x14ac:dyDescent="0.25">
      <c r="A143" s="13">
        <v>110</v>
      </c>
      <c r="B143" s="16" t="s">
        <v>93</v>
      </c>
      <c r="C143" s="15">
        <v>224.11</v>
      </c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6"/>
      <c r="Q143" s="36"/>
    </row>
    <row r="144" spans="1:17" ht="21.75" customHeight="1" x14ac:dyDescent="0.25">
      <c r="A144" s="13">
        <v>111</v>
      </c>
      <c r="B144" s="16" t="s">
        <v>17</v>
      </c>
      <c r="C144" s="15">
        <v>0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6"/>
      <c r="Q144" s="36"/>
    </row>
    <row r="145" spans="1:17" ht="31.5" x14ac:dyDescent="0.25">
      <c r="A145" s="10"/>
      <c r="B145" s="11" t="s">
        <v>195</v>
      </c>
      <c r="C145" s="12">
        <f>SUM(C146:C148)</f>
        <v>247.28</v>
      </c>
      <c r="D145" s="12">
        <f t="shared" ref="D145:Q145" si="26">SUM(D146:D148)</f>
        <v>0</v>
      </c>
      <c r="E145" s="12">
        <f t="shared" si="26"/>
        <v>0</v>
      </c>
      <c r="F145" s="12">
        <f t="shared" si="26"/>
        <v>0</v>
      </c>
      <c r="G145" s="12">
        <f t="shared" si="26"/>
        <v>0</v>
      </c>
      <c r="H145" s="12">
        <f t="shared" si="26"/>
        <v>0</v>
      </c>
      <c r="I145" s="12">
        <f t="shared" si="26"/>
        <v>0</v>
      </c>
      <c r="J145" s="12">
        <f t="shared" si="26"/>
        <v>0</v>
      </c>
      <c r="K145" s="12">
        <f t="shared" si="26"/>
        <v>0</v>
      </c>
      <c r="L145" s="12">
        <f t="shared" si="26"/>
        <v>0</v>
      </c>
      <c r="M145" s="12">
        <f t="shared" si="26"/>
        <v>0</v>
      </c>
      <c r="N145" s="12">
        <f t="shared" si="26"/>
        <v>0</v>
      </c>
      <c r="O145" s="12">
        <f t="shared" si="26"/>
        <v>0</v>
      </c>
      <c r="P145" s="12">
        <f t="shared" si="26"/>
        <v>2.98</v>
      </c>
      <c r="Q145" s="12">
        <f t="shared" si="26"/>
        <v>0</v>
      </c>
    </row>
    <row r="146" spans="1:17" x14ac:dyDescent="0.25">
      <c r="A146" s="13">
        <v>112</v>
      </c>
      <c r="B146" s="16" t="s">
        <v>94</v>
      </c>
      <c r="C146" s="15">
        <v>152.78</v>
      </c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4">
        <v>2.98</v>
      </c>
      <c r="Q146" s="36"/>
    </row>
    <row r="147" spans="1:17" x14ac:dyDescent="0.25">
      <c r="A147" s="13">
        <v>113</v>
      </c>
      <c r="B147" s="16" t="s">
        <v>95</v>
      </c>
      <c r="C147" s="15">
        <v>48</v>
      </c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6"/>
      <c r="Q147" s="36"/>
    </row>
    <row r="148" spans="1:17" ht="31.5" x14ac:dyDescent="0.25">
      <c r="A148" s="13">
        <v>114</v>
      </c>
      <c r="B148" s="16" t="s">
        <v>185</v>
      </c>
      <c r="C148" s="15">
        <v>46.5</v>
      </c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6"/>
      <c r="Q148" s="36"/>
    </row>
    <row r="149" spans="1:17" ht="31.5" x14ac:dyDescent="0.25">
      <c r="A149" s="10"/>
      <c r="B149" s="17" t="s">
        <v>196</v>
      </c>
      <c r="C149" s="12">
        <f>SUM(C150:C153)</f>
        <v>127.14999999999999</v>
      </c>
      <c r="D149" s="12">
        <f t="shared" ref="D149:Q149" si="27">SUM(D150:D153)</f>
        <v>0</v>
      </c>
      <c r="E149" s="12">
        <f t="shared" si="27"/>
        <v>0</v>
      </c>
      <c r="F149" s="12">
        <f t="shared" si="27"/>
        <v>0</v>
      </c>
      <c r="G149" s="12">
        <f t="shared" si="27"/>
        <v>0</v>
      </c>
      <c r="H149" s="12">
        <f t="shared" si="27"/>
        <v>0</v>
      </c>
      <c r="I149" s="12">
        <f t="shared" si="27"/>
        <v>0</v>
      </c>
      <c r="J149" s="12">
        <f t="shared" si="27"/>
        <v>0</v>
      </c>
      <c r="K149" s="12">
        <f t="shared" si="27"/>
        <v>0</v>
      </c>
      <c r="L149" s="12">
        <f t="shared" si="27"/>
        <v>0</v>
      </c>
      <c r="M149" s="12">
        <f t="shared" si="27"/>
        <v>0</v>
      </c>
      <c r="N149" s="12">
        <f t="shared" si="27"/>
        <v>0</v>
      </c>
      <c r="O149" s="12">
        <f t="shared" si="27"/>
        <v>0</v>
      </c>
      <c r="P149" s="12">
        <f t="shared" si="27"/>
        <v>0</v>
      </c>
      <c r="Q149" s="12">
        <f t="shared" si="27"/>
        <v>0</v>
      </c>
    </row>
    <row r="150" spans="1:17" x14ac:dyDescent="0.25">
      <c r="A150" s="13">
        <v>115</v>
      </c>
      <c r="B150" s="16" t="s">
        <v>96</v>
      </c>
      <c r="C150" s="15">
        <v>40.94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6"/>
      <c r="Q150" s="36"/>
    </row>
    <row r="151" spans="1:17" x14ac:dyDescent="0.25">
      <c r="A151" s="13">
        <v>116</v>
      </c>
      <c r="B151" s="16" t="s">
        <v>97</v>
      </c>
      <c r="C151" s="15">
        <v>36.35</v>
      </c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6"/>
      <c r="Q151" s="36"/>
    </row>
    <row r="152" spans="1:17" x14ac:dyDescent="0.25">
      <c r="A152" s="13">
        <v>117</v>
      </c>
      <c r="B152" s="16" t="s">
        <v>98</v>
      </c>
      <c r="C152" s="15">
        <v>0</v>
      </c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6"/>
      <c r="Q152" s="36"/>
    </row>
    <row r="153" spans="1:17" ht="22.5" customHeight="1" x14ac:dyDescent="0.25">
      <c r="A153" s="13">
        <v>118</v>
      </c>
      <c r="B153" s="16" t="s">
        <v>17</v>
      </c>
      <c r="C153" s="15">
        <v>49.86</v>
      </c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6"/>
      <c r="Q153" s="36"/>
    </row>
    <row r="154" spans="1:17" ht="47.25" x14ac:dyDescent="0.25">
      <c r="A154" s="10">
        <v>119</v>
      </c>
      <c r="B154" s="11" t="s">
        <v>197</v>
      </c>
      <c r="C154" s="18">
        <v>6.65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6"/>
      <c r="Q154" s="36"/>
    </row>
    <row r="155" spans="1:17" ht="31.5" x14ac:dyDescent="0.25">
      <c r="A155" s="10">
        <v>120</v>
      </c>
      <c r="B155" s="11" t="s">
        <v>186</v>
      </c>
      <c r="C155" s="18">
        <v>0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6"/>
      <c r="Q155" s="36"/>
    </row>
    <row r="156" spans="1:17" ht="31.5" x14ac:dyDescent="0.25">
      <c r="A156" s="10"/>
      <c r="B156" s="11" t="s">
        <v>198</v>
      </c>
      <c r="C156" s="12">
        <f>SUM(C157:C159)</f>
        <v>13.98</v>
      </c>
      <c r="D156" s="12">
        <f t="shared" ref="D156:Q156" si="28">SUM(D157:D159)</f>
        <v>0</v>
      </c>
      <c r="E156" s="12">
        <f t="shared" si="28"/>
        <v>0</v>
      </c>
      <c r="F156" s="12">
        <f t="shared" si="28"/>
        <v>0</v>
      </c>
      <c r="G156" s="12">
        <f t="shared" si="28"/>
        <v>0</v>
      </c>
      <c r="H156" s="12">
        <f t="shared" si="28"/>
        <v>0</v>
      </c>
      <c r="I156" s="12">
        <f t="shared" si="28"/>
        <v>0</v>
      </c>
      <c r="J156" s="12">
        <f t="shared" si="28"/>
        <v>0</v>
      </c>
      <c r="K156" s="12">
        <f t="shared" si="28"/>
        <v>0</v>
      </c>
      <c r="L156" s="12">
        <f t="shared" si="28"/>
        <v>0</v>
      </c>
      <c r="M156" s="12">
        <f t="shared" si="28"/>
        <v>0</v>
      </c>
      <c r="N156" s="12">
        <f t="shared" si="28"/>
        <v>0</v>
      </c>
      <c r="O156" s="12">
        <f t="shared" si="28"/>
        <v>0</v>
      </c>
      <c r="P156" s="12">
        <f t="shared" si="28"/>
        <v>0</v>
      </c>
      <c r="Q156" s="12">
        <f t="shared" si="28"/>
        <v>0</v>
      </c>
    </row>
    <row r="157" spans="1:17" x14ac:dyDescent="0.25">
      <c r="A157" s="13">
        <v>121</v>
      </c>
      <c r="B157" s="16" t="s">
        <v>99</v>
      </c>
      <c r="C157" s="15">
        <v>2.4</v>
      </c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6"/>
      <c r="Q157" s="36"/>
    </row>
    <row r="158" spans="1:17" x14ac:dyDescent="0.25">
      <c r="A158" s="13">
        <v>122</v>
      </c>
      <c r="B158" s="16" t="s">
        <v>100</v>
      </c>
      <c r="C158" s="15">
        <v>7.67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6"/>
      <c r="Q158" s="36"/>
    </row>
    <row r="159" spans="1:17" x14ac:dyDescent="0.25">
      <c r="A159" s="13">
        <v>123</v>
      </c>
      <c r="B159" s="16" t="s">
        <v>101</v>
      </c>
      <c r="C159" s="15">
        <v>3.91</v>
      </c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6"/>
      <c r="Q159" s="36"/>
    </row>
    <row r="160" spans="1:17" ht="47.25" x14ac:dyDescent="0.25">
      <c r="A160" s="10"/>
      <c r="B160" s="11" t="s">
        <v>199</v>
      </c>
      <c r="C160" s="12">
        <f>SUM(C161:C163)</f>
        <v>0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6"/>
      <c r="Q160" s="36"/>
    </row>
    <row r="161" spans="1:17" x14ac:dyDescent="0.25">
      <c r="A161" s="13">
        <v>124</v>
      </c>
      <c r="B161" s="16" t="s">
        <v>102</v>
      </c>
      <c r="C161" s="15">
        <v>0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6"/>
      <c r="Q161" s="36"/>
    </row>
    <row r="162" spans="1:17" x14ac:dyDescent="0.25">
      <c r="A162" s="13">
        <v>125</v>
      </c>
      <c r="B162" s="16" t="s">
        <v>103</v>
      </c>
      <c r="C162" s="15">
        <v>0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6"/>
      <c r="Q162" s="36"/>
    </row>
    <row r="163" spans="1:17" ht="31.5" x14ac:dyDescent="0.25">
      <c r="A163" s="13">
        <v>126</v>
      </c>
      <c r="B163" s="16" t="s">
        <v>71</v>
      </c>
      <c r="C163" s="15">
        <v>0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6"/>
      <c r="Q163" s="36"/>
    </row>
    <row r="164" spans="1:17" x14ac:dyDescent="0.25">
      <c r="A164" s="7" t="s">
        <v>191</v>
      </c>
      <c r="B164" s="8" t="s">
        <v>161</v>
      </c>
      <c r="C164" s="9">
        <f>C165+C169+C177+C180+C184+C190+C192+C194+C195</f>
        <v>510.63</v>
      </c>
      <c r="D164" s="9">
        <f t="shared" ref="D164:Q164" si="29">D165+D169+D177+D180+D184+D190+D192+D194+D195</f>
        <v>8.11</v>
      </c>
      <c r="E164" s="9">
        <f t="shared" si="29"/>
        <v>0</v>
      </c>
      <c r="F164" s="9">
        <f t="shared" si="29"/>
        <v>7.41</v>
      </c>
      <c r="G164" s="9">
        <f t="shared" si="29"/>
        <v>0</v>
      </c>
      <c r="H164" s="9">
        <f t="shared" si="29"/>
        <v>0</v>
      </c>
      <c r="I164" s="9">
        <f t="shared" si="29"/>
        <v>4.38</v>
      </c>
      <c r="J164" s="9">
        <f t="shared" si="29"/>
        <v>0</v>
      </c>
      <c r="K164" s="9">
        <f t="shared" si="29"/>
        <v>0</v>
      </c>
      <c r="L164" s="9">
        <f t="shared" si="29"/>
        <v>0</v>
      </c>
      <c r="M164" s="9">
        <f t="shared" si="29"/>
        <v>4.2300000000000004</v>
      </c>
      <c r="N164" s="9">
        <f t="shared" si="29"/>
        <v>3.73</v>
      </c>
      <c r="O164" s="9">
        <f t="shared" si="29"/>
        <v>0</v>
      </c>
      <c r="P164" s="9">
        <f t="shared" si="29"/>
        <v>72.909999400000004</v>
      </c>
      <c r="Q164" s="9">
        <f t="shared" si="29"/>
        <v>100.7699994</v>
      </c>
    </row>
    <row r="165" spans="1:17" ht="31.5" x14ac:dyDescent="0.25">
      <c r="A165" s="22"/>
      <c r="B165" s="11" t="s">
        <v>200</v>
      </c>
      <c r="C165" s="12">
        <f>SUM(C166:C168)</f>
        <v>86.77000000000001</v>
      </c>
      <c r="D165" s="12">
        <f t="shared" ref="D165:Q165" si="30">SUM(D166:D168)</f>
        <v>3.96</v>
      </c>
      <c r="E165" s="12">
        <f t="shared" si="30"/>
        <v>0</v>
      </c>
      <c r="F165" s="12">
        <f t="shared" si="30"/>
        <v>3.96</v>
      </c>
      <c r="G165" s="12">
        <f t="shared" si="30"/>
        <v>0</v>
      </c>
      <c r="H165" s="12">
        <f t="shared" si="30"/>
        <v>0</v>
      </c>
      <c r="I165" s="12">
        <f t="shared" si="30"/>
        <v>1.98</v>
      </c>
      <c r="J165" s="12">
        <f t="shared" si="30"/>
        <v>0</v>
      </c>
      <c r="K165" s="12">
        <f t="shared" si="30"/>
        <v>0</v>
      </c>
      <c r="L165" s="12">
        <f t="shared" si="30"/>
        <v>0</v>
      </c>
      <c r="M165" s="12">
        <f t="shared" si="30"/>
        <v>1.98</v>
      </c>
      <c r="N165" s="12">
        <f t="shared" si="30"/>
        <v>1.98</v>
      </c>
      <c r="O165" s="12">
        <f t="shared" si="30"/>
        <v>0</v>
      </c>
      <c r="P165" s="12">
        <f t="shared" si="30"/>
        <v>72.909999400000004</v>
      </c>
      <c r="Q165" s="12">
        <f t="shared" si="30"/>
        <v>86.769999400000003</v>
      </c>
    </row>
    <row r="166" spans="1:17" ht="31.5" x14ac:dyDescent="0.25">
      <c r="A166" s="13">
        <v>127</v>
      </c>
      <c r="B166" s="16" t="s">
        <v>104</v>
      </c>
      <c r="C166" s="15">
        <v>0</v>
      </c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6"/>
      <c r="Q166" s="36"/>
    </row>
    <row r="167" spans="1:17" x14ac:dyDescent="0.25">
      <c r="A167" s="13">
        <v>128</v>
      </c>
      <c r="B167" s="14" t="s">
        <v>105</v>
      </c>
      <c r="C167" s="15">
        <v>85.51</v>
      </c>
      <c r="D167" s="43">
        <v>3.6</v>
      </c>
      <c r="E167" s="43">
        <v>0</v>
      </c>
      <c r="F167" s="43">
        <v>3.6</v>
      </c>
      <c r="G167" s="43">
        <v>0</v>
      </c>
      <c r="H167" s="43">
        <v>0</v>
      </c>
      <c r="I167" s="43">
        <v>1.8</v>
      </c>
      <c r="J167" s="43">
        <v>0</v>
      </c>
      <c r="K167" s="43">
        <v>0</v>
      </c>
      <c r="L167" s="43">
        <v>0</v>
      </c>
      <c r="M167" s="43">
        <v>1.8</v>
      </c>
      <c r="N167" s="43">
        <v>1.8</v>
      </c>
      <c r="O167" s="43">
        <v>0</v>
      </c>
      <c r="P167" s="45">
        <v>72.909999400000004</v>
      </c>
      <c r="Q167" s="43">
        <v>85.509999399999998</v>
      </c>
    </row>
    <row r="168" spans="1:17" x14ac:dyDescent="0.25">
      <c r="A168" s="13">
        <v>129</v>
      </c>
      <c r="B168" s="14" t="s">
        <v>106</v>
      </c>
      <c r="C168" s="15">
        <v>1.26</v>
      </c>
      <c r="D168" s="43">
        <v>0.36</v>
      </c>
      <c r="E168" s="43"/>
      <c r="F168" s="43">
        <v>0.36</v>
      </c>
      <c r="G168" s="43"/>
      <c r="H168" s="43"/>
      <c r="I168" s="43">
        <v>0.18</v>
      </c>
      <c r="J168" s="43"/>
      <c r="K168" s="43"/>
      <c r="L168" s="43"/>
      <c r="M168" s="43">
        <v>0.18</v>
      </c>
      <c r="N168" s="43">
        <v>0.18</v>
      </c>
      <c r="O168" s="43"/>
      <c r="P168" s="44"/>
      <c r="Q168" s="43">
        <v>1.2599999999999998</v>
      </c>
    </row>
    <row r="169" spans="1:17" ht="31.5" x14ac:dyDescent="0.25">
      <c r="A169" s="10"/>
      <c r="B169" s="11" t="s">
        <v>201</v>
      </c>
      <c r="C169" s="12">
        <f>SUM(C170:C176)</f>
        <v>99.829999999999984</v>
      </c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4"/>
      <c r="Q169" s="44"/>
    </row>
    <row r="170" spans="1:17" ht="31.5" x14ac:dyDescent="0.25">
      <c r="A170" s="13">
        <v>130</v>
      </c>
      <c r="B170" s="14" t="s">
        <v>107</v>
      </c>
      <c r="C170" s="15">
        <v>68.849999999999994</v>
      </c>
      <c r="D170" s="43">
        <v>17.57</v>
      </c>
      <c r="E170" s="43"/>
      <c r="F170" s="43">
        <v>14.18</v>
      </c>
      <c r="G170" s="43"/>
      <c r="H170" s="43"/>
      <c r="I170" s="43">
        <v>6.16</v>
      </c>
      <c r="J170" s="43"/>
      <c r="K170" s="43"/>
      <c r="L170" s="43"/>
      <c r="M170" s="43">
        <v>6.07</v>
      </c>
      <c r="N170" s="43">
        <v>5.7</v>
      </c>
      <c r="O170" s="43"/>
      <c r="P170" s="44">
        <v>19.170000000000002</v>
      </c>
      <c r="Q170" s="43">
        <v>68.849999999999994</v>
      </c>
    </row>
    <row r="171" spans="1:17" x14ac:dyDescent="0.25">
      <c r="A171" s="13">
        <v>131</v>
      </c>
      <c r="B171" s="16" t="s">
        <v>108</v>
      </c>
      <c r="C171" s="15">
        <v>2.16</v>
      </c>
      <c r="D171" s="43">
        <v>0.55200000000000005</v>
      </c>
      <c r="E171" s="43"/>
      <c r="F171" s="43">
        <v>0.45600000000000002</v>
      </c>
      <c r="G171" s="43"/>
      <c r="H171" s="43"/>
      <c r="I171" s="43">
        <v>0.432</v>
      </c>
      <c r="J171" s="43"/>
      <c r="K171" s="43"/>
      <c r="L171" s="43"/>
      <c r="M171" s="43">
        <v>0.36</v>
      </c>
      <c r="N171" s="43">
        <v>0.36</v>
      </c>
      <c r="O171" s="43"/>
      <c r="P171" s="44"/>
      <c r="Q171" s="43">
        <v>2.1599999999999997</v>
      </c>
    </row>
    <row r="172" spans="1:17" x14ac:dyDescent="0.25">
      <c r="A172" s="13">
        <v>132</v>
      </c>
      <c r="B172" s="16" t="s">
        <v>109</v>
      </c>
      <c r="C172" s="15">
        <v>0</v>
      </c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4"/>
      <c r="Q172" s="44"/>
    </row>
    <row r="173" spans="1:17" x14ac:dyDescent="0.25">
      <c r="A173" s="13">
        <v>133</v>
      </c>
      <c r="B173" s="16" t="s">
        <v>110</v>
      </c>
      <c r="C173" s="15">
        <v>0</v>
      </c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4"/>
      <c r="Q173" s="44"/>
    </row>
    <row r="174" spans="1:17" x14ac:dyDescent="0.25">
      <c r="A174" s="13">
        <v>134</v>
      </c>
      <c r="B174" s="16" t="s">
        <v>111</v>
      </c>
      <c r="C174" s="15">
        <v>20.58</v>
      </c>
      <c r="D174" s="43">
        <v>5.88</v>
      </c>
      <c r="E174" s="43"/>
      <c r="F174" s="43">
        <v>5.88</v>
      </c>
      <c r="G174" s="43"/>
      <c r="H174" s="43"/>
      <c r="I174" s="43">
        <v>2.94</v>
      </c>
      <c r="J174" s="43"/>
      <c r="K174" s="43"/>
      <c r="L174" s="43"/>
      <c r="M174" s="43">
        <v>2.94</v>
      </c>
      <c r="N174" s="43">
        <v>2.94</v>
      </c>
      <c r="O174" s="43"/>
      <c r="P174" s="44"/>
      <c r="Q174" s="43">
        <v>20.580000000000002</v>
      </c>
    </row>
    <row r="175" spans="1:17" x14ac:dyDescent="0.25">
      <c r="A175" s="13">
        <v>135</v>
      </c>
      <c r="B175" s="16" t="s">
        <v>112</v>
      </c>
      <c r="C175" s="15">
        <v>8.24</v>
      </c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4">
        <v>8.24</v>
      </c>
      <c r="Q175" s="43">
        <v>8.24</v>
      </c>
    </row>
    <row r="176" spans="1:17" x14ac:dyDescent="0.25">
      <c r="A176" s="13">
        <v>136</v>
      </c>
      <c r="B176" s="16" t="s">
        <v>113</v>
      </c>
      <c r="C176" s="15">
        <v>0</v>
      </c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4"/>
      <c r="Q176" s="44"/>
    </row>
    <row r="177" spans="1:17" ht="31.5" x14ac:dyDescent="0.25">
      <c r="A177" s="10"/>
      <c r="B177" s="11" t="s">
        <v>202</v>
      </c>
      <c r="C177" s="12">
        <f>SUM(C178:C179)</f>
        <v>4.8</v>
      </c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4"/>
      <c r="Q177" s="44"/>
    </row>
    <row r="178" spans="1:17" x14ac:dyDescent="0.25">
      <c r="A178" s="13">
        <v>137</v>
      </c>
      <c r="B178" s="16" t="s">
        <v>114</v>
      </c>
      <c r="C178" s="15">
        <v>4.8</v>
      </c>
      <c r="D178" s="43"/>
      <c r="E178" s="43"/>
      <c r="F178" s="43">
        <v>2.4</v>
      </c>
      <c r="G178" s="43"/>
      <c r="H178" s="43"/>
      <c r="I178" s="43"/>
      <c r="J178" s="43"/>
      <c r="K178" s="43"/>
      <c r="L178" s="43"/>
      <c r="M178" s="43"/>
      <c r="N178" s="43">
        <v>2.4</v>
      </c>
      <c r="O178" s="43"/>
      <c r="P178" s="44"/>
      <c r="Q178" s="43">
        <v>4.8</v>
      </c>
    </row>
    <row r="179" spans="1:17" x14ac:dyDescent="0.25">
      <c r="A179" s="13">
        <v>138</v>
      </c>
      <c r="B179" s="16" t="s">
        <v>115</v>
      </c>
      <c r="C179" s="15">
        <v>0</v>
      </c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4"/>
      <c r="Q179" s="44"/>
    </row>
    <row r="180" spans="1:17" x14ac:dyDescent="0.25">
      <c r="A180" s="10"/>
      <c r="B180" s="11" t="s">
        <v>203</v>
      </c>
      <c r="C180" s="12">
        <f>SUM(C181:C183)</f>
        <v>26.03</v>
      </c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4"/>
      <c r="Q180" s="44"/>
    </row>
    <row r="181" spans="1:17" ht="31.5" x14ac:dyDescent="0.25">
      <c r="A181" s="13">
        <v>139</v>
      </c>
      <c r="B181" s="16" t="s">
        <v>116</v>
      </c>
      <c r="C181" s="15">
        <v>18.260000000000002</v>
      </c>
      <c r="D181" s="43">
        <v>10.64</v>
      </c>
      <c r="E181" s="43"/>
      <c r="F181" s="43">
        <v>3.58</v>
      </c>
      <c r="G181" s="43"/>
      <c r="H181" s="43"/>
      <c r="I181" s="43">
        <v>0.57999999999999996</v>
      </c>
      <c r="J181" s="43"/>
      <c r="K181" s="43"/>
      <c r="L181" s="43"/>
      <c r="M181" s="43">
        <v>0.57999999999999996</v>
      </c>
      <c r="N181" s="43">
        <v>0.57999999999999996</v>
      </c>
      <c r="O181" s="43"/>
      <c r="P181" s="44">
        <v>2.2999999999999998</v>
      </c>
      <c r="Q181" s="43">
        <v>18.260000000000002</v>
      </c>
    </row>
    <row r="182" spans="1:17" x14ac:dyDescent="0.25">
      <c r="A182" s="13">
        <v>140</v>
      </c>
      <c r="B182" s="16" t="s">
        <v>117</v>
      </c>
      <c r="C182" s="15">
        <v>7.77</v>
      </c>
      <c r="D182" s="43">
        <v>2.2200000000000002</v>
      </c>
      <c r="E182" s="43"/>
      <c r="F182" s="43">
        <v>2.2200000000000002</v>
      </c>
      <c r="G182" s="43"/>
      <c r="H182" s="43"/>
      <c r="I182" s="43">
        <v>1.1100000000000001</v>
      </c>
      <c r="J182" s="43"/>
      <c r="K182" s="43"/>
      <c r="L182" s="43"/>
      <c r="M182" s="43">
        <v>1.1100000000000001</v>
      </c>
      <c r="N182" s="43">
        <v>1.1100000000000001</v>
      </c>
      <c r="O182" s="43"/>
      <c r="P182" s="44"/>
      <c r="Q182" s="43">
        <v>7.7700000000000014</v>
      </c>
    </row>
    <row r="183" spans="1:17" x14ac:dyDescent="0.25">
      <c r="A183" s="13">
        <v>141</v>
      </c>
      <c r="B183" s="16" t="s">
        <v>118</v>
      </c>
      <c r="C183" s="15">
        <v>0</v>
      </c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4"/>
      <c r="Q183" s="44"/>
    </row>
    <row r="184" spans="1:17" x14ac:dyDescent="0.25">
      <c r="A184" s="10"/>
      <c r="B184" s="11" t="s">
        <v>187</v>
      </c>
      <c r="C184" s="12">
        <f>SUM(C185:C189)</f>
        <v>256.15999999999997</v>
      </c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4"/>
      <c r="Q184" s="44"/>
    </row>
    <row r="185" spans="1:17" x14ac:dyDescent="0.25">
      <c r="A185" s="13">
        <v>142.1</v>
      </c>
      <c r="B185" s="14" t="s">
        <v>188</v>
      </c>
      <c r="C185" s="15">
        <v>249.16</v>
      </c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4">
        <v>249.16</v>
      </c>
      <c r="Q185" s="43">
        <v>249.16</v>
      </c>
    </row>
    <row r="186" spans="1:17" x14ac:dyDescent="0.25">
      <c r="A186" s="13">
        <v>142.19999999999999</v>
      </c>
      <c r="B186" s="14" t="s">
        <v>189</v>
      </c>
      <c r="C186" s="15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4"/>
      <c r="Q186" s="44"/>
    </row>
    <row r="187" spans="1:17" ht="31.5" x14ac:dyDescent="0.25">
      <c r="A187" s="13">
        <v>143</v>
      </c>
      <c r="B187" s="14" t="s">
        <v>190</v>
      </c>
      <c r="C187" s="15">
        <v>0</v>
      </c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4"/>
      <c r="Q187" s="44"/>
    </row>
    <row r="188" spans="1:17" x14ac:dyDescent="0.25">
      <c r="A188" s="13">
        <v>144</v>
      </c>
      <c r="B188" s="14" t="s">
        <v>120</v>
      </c>
      <c r="C188" s="15">
        <v>7</v>
      </c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4">
        <v>7</v>
      </c>
      <c r="Q188" s="43">
        <v>7</v>
      </c>
    </row>
    <row r="189" spans="1:17" x14ac:dyDescent="0.25">
      <c r="A189" s="13">
        <v>145</v>
      </c>
      <c r="B189" s="14" t="s">
        <v>121</v>
      </c>
      <c r="C189" s="15">
        <v>0</v>
      </c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4"/>
      <c r="Q189" s="44"/>
    </row>
    <row r="190" spans="1:17" x14ac:dyDescent="0.25">
      <c r="A190" s="10"/>
      <c r="B190" s="23" t="s">
        <v>220</v>
      </c>
      <c r="C190" s="12">
        <f>C191</f>
        <v>23.04</v>
      </c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4"/>
      <c r="Q190" s="44"/>
    </row>
    <row r="191" spans="1:17" x14ac:dyDescent="0.25">
      <c r="A191" s="13">
        <v>146</v>
      </c>
      <c r="B191" s="16" t="s">
        <v>122</v>
      </c>
      <c r="C191" s="15">
        <v>23.04</v>
      </c>
      <c r="D191" s="43">
        <v>3.04</v>
      </c>
      <c r="E191" s="43"/>
      <c r="F191" s="43">
        <v>3.04</v>
      </c>
      <c r="G191" s="43"/>
      <c r="H191" s="43"/>
      <c r="I191" s="43">
        <v>3.04</v>
      </c>
      <c r="J191" s="43"/>
      <c r="K191" s="43"/>
      <c r="L191" s="43"/>
      <c r="M191" s="43">
        <v>3.04</v>
      </c>
      <c r="N191" s="43">
        <v>3.04</v>
      </c>
      <c r="O191" s="43"/>
      <c r="P191" s="44">
        <v>7.84</v>
      </c>
      <c r="Q191" s="43">
        <v>23.04</v>
      </c>
    </row>
    <row r="192" spans="1:17" x14ac:dyDescent="0.25">
      <c r="A192" s="10"/>
      <c r="B192" s="23" t="s">
        <v>204</v>
      </c>
      <c r="C192" s="12">
        <f>C193</f>
        <v>0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4"/>
      <c r="Q192" s="44"/>
    </row>
    <row r="193" spans="1:17" x14ac:dyDescent="0.25">
      <c r="A193" s="13">
        <v>147</v>
      </c>
      <c r="B193" s="16" t="s">
        <v>63</v>
      </c>
      <c r="C193" s="15">
        <v>0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4"/>
      <c r="Q193" s="44"/>
    </row>
    <row r="194" spans="1:17" ht="31.5" x14ac:dyDescent="0.25">
      <c r="A194" s="10">
        <v>148</v>
      </c>
      <c r="B194" s="11" t="s">
        <v>123</v>
      </c>
      <c r="C194" s="18">
        <v>0</v>
      </c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4"/>
      <c r="Q194" s="44"/>
    </row>
    <row r="195" spans="1:17" x14ac:dyDescent="0.25">
      <c r="A195" s="10">
        <v>149</v>
      </c>
      <c r="B195" s="11" t="s">
        <v>124</v>
      </c>
      <c r="C195" s="18">
        <v>14</v>
      </c>
      <c r="D195" s="43">
        <v>4.1500000000000004</v>
      </c>
      <c r="E195" s="43"/>
      <c r="F195" s="43">
        <v>3.45</v>
      </c>
      <c r="G195" s="43"/>
      <c r="H195" s="43"/>
      <c r="I195" s="43">
        <v>2.4</v>
      </c>
      <c r="J195" s="43"/>
      <c r="K195" s="43"/>
      <c r="L195" s="43"/>
      <c r="M195" s="43">
        <v>2.25</v>
      </c>
      <c r="N195" s="43">
        <v>1.75</v>
      </c>
      <c r="O195" s="43"/>
      <c r="P195" s="44"/>
      <c r="Q195" s="43">
        <v>14</v>
      </c>
    </row>
    <row r="196" spans="1:17" ht="22.5" customHeight="1" x14ac:dyDescent="0.25">
      <c r="A196" s="7" t="s">
        <v>192</v>
      </c>
      <c r="B196" s="8" t="s">
        <v>162</v>
      </c>
      <c r="C196" s="9">
        <f>C197+C202+C208+C214+C222+C227+C231+C238+C240+C248+C251+C255+C259+C260</f>
        <v>14125.949999999997</v>
      </c>
      <c r="D196" s="9">
        <f t="shared" ref="D196:Q196" si="31">D197+D202+D208+D214+D222+D227+D231+D238+D240+D248+D251+D255+D259+D260</f>
        <v>48.143636363636368</v>
      </c>
      <c r="E196" s="9">
        <f t="shared" si="31"/>
        <v>4.3766942148760331</v>
      </c>
      <c r="F196" s="9">
        <f t="shared" si="31"/>
        <v>0.39788129226145758</v>
      </c>
      <c r="G196" s="9">
        <f t="shared" si="31"/>
        <v>3.6171026569223413E-2</v>
      </c>
      <c r="H196" s="9">
        <f t="shared" si="31"/>
        <v>3.288275142656674E-3</v>
      </c>
      <c r="I196" s="9">
        <f t="shared" si="31"/>
        <v>2.9893410387787944E-4</v>
      </c>
      <c r="J196" s="9">
        <f t="shared" si="31"/>
        <v>2.7175827625261767E-5</v>
      </c>
      <c r="K196" s="9">
        <f t="shared" si="31"/>
        <v>2.470529784114706E-6</v>
      </c>
      <c r="L196" s="9">
        <f t="shared" si="31"/>
        <v>2.2459361673770054E-7</v>
      </c>
      <c r="M196" s="9">
        <f t="shared" si="31"/>
        <v>2.0417601521609139E-8</v>
      </c>
      <c r="N196" s="9">
        <f t="shared" si="31"/>
        <v>1.8561455928735581E-9</v>
      </c>
      <c r="O196" s="9">
        <f t="shared" si="31"/>
        <v>1.6874050844305074E-10</v>
      </c>
      <c r="P196" s="9">
        <f t="shared" si="31"/>
        <v>0</v>
      </c>
      <c r="Q196" s="9">
        <f t="shared" si="31"/>
        <v>0</v>
      </c>
    </row>
    <row r="197" spans="1:17" ht="31.5" x14ac:dyDescent="0.25">
      <c r="A197" s="10"/>
      <c r="B197" s="11" t="s">
        <v>200</v>
      </c>
      <c r="C197" s="12">
        <f>SUM(C198:C201)</f>
        <v>573.83999999999992</v>
      </c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6"/>
      <c r="Q197" s="36"/>
    </row>
    <row r="198" spans="1:17" ht="31.5" x14ac:dyDescent="0.25">
      <c r="A198" s="13">
        <v>150</v>
      </c>
      <c r="B198" s="16" t="s">
        <v>125</v>
      </c>
      <c r="C198" s="15">
        <v>351.15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4">
        <v>351.15</v>
      </c>
      <c r="Q198" s="43">
        <f>SUM(D198:P198)</f>
        <v>351.15</v>
      </c>
    </row>
    <row r="199" spans="1:17" x14ac:dyDescent="0.25">
      <c r="A199" s="13">
        <v>151</v>
      </c>
      <c r="B199" s="14" t="s">
        <v>126</v>
      </c>
      <c r="C199" s="15">
        <v>197.4</v>
      </c>
      <c r="D199" s="43">
        <v>26.91</v>
      </c>
      <c r="E199" s="43">
        <v>12.17</v>
      </c>
      <c r="F199" s="43">
        <v>17.3</v>
      </c>
      <c r="G199" s="43">
        <v>5.76</v>
      </c>
      <c r="H199" s="43">
        <v>21.15</v>
      </c>
      <c r="I199" s="43">
        <v>19.86</v>
      </c>
      <c r="J199" s="43">
        <v>7.69</v>
      </c>
      <c r="K199" s="43">
        <v>9.61</v>
      </c>
      <c r="L199" s="43">
        <v>21.15</v>
      </c>
      <c r="M199" s="43">
        <v>16.920000000000002</v>
      </c>
      <c r="N199" s="43">
        <v>16.920000000000002</v>
      </c>
      <c r="O199" s="43">
        <v>19.22</v>
      </c>
      <c r="P199" s="44">
        <v>2.74</v>
      </c>
      <c r="Q199" s="43">
        <f>SUM(D199:P199)</f>
        <v>197.4</v>
      </c>
    </row>
    <row r="200" spans="1:17" x14ac:dyDescent="0.25">
      <c r="A200" s="13">
        <v>152</v>
      </c>
      <c r="B200" s="14" t="s">
        <v>127</v>
      </c>
      <c r="C200" s="15">
        <v>17.75</v>
      </c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4">
        <v>17.75</v>
      </c>
      <c r="Q200" s="43">
        <f>SUM(D200:P200)</f>
        <v>17.75</v>
      </c>
    </row>
    <row r="201" spans="1:17" x14ac:dyDescent="0.25">
      <c r="A201" s="13">
        <v>153</v>
      </c>
      <c r="B201" s="14" t="s">
        <v>128</v>
      </c>
      <c r="C201" s="15">
        <v>7.54</v>
      </c>
      <c r="D201" s="43">
        <v>1.25</v>
      </c>
      <c r="E201" s="43">
        <v>0.11</v>
      </c>
      <c r="F201" s="43">
        <v>1.1599999999999999</v>
      </c>
      <c r="G201" s="43">
        <v>0.05</v>
      </c>
      <c r="H201" s="43">
        <v>0.19</v>
      </c>
      <c r="I201" s="43">
        <v>0.18</v>
      </c>
      <c r="J201" s="43">
        <v>7.0000000000000007E-2</v>
      </c>
      <c r="K201" s="43">
        <v>0.09</v>
      </c>
      <c r="L201" s="43">
        <v>0.19</v>
      </c>
      <c r="M201" s="43">
        <v>0.15</v>
      </c>
      <c r="N201" s="43">
        <v>0.15</v>
      </c>
      <c r="O201" s="43">
        <v>0.18</v>
      </c>
      <c r="P201" s="44">
        <v>3.77</v>
      </c>
      <c r="Q201" s="43">
        <f>SUM(D201:P201)</f>
        <v>7.5399999999999991</v>
      </c>
    </row>
    <row r="202" spans="1:17" ht="31.5" x14ac:dyDescent="0.25">
      <c r="A202" s="10"/>
      <c r="B202" s="11" t="s">
        <v>205</v>
      </c>
      <c r="C202" s="12">
        <f>SUM(C203:C207)</f>
        <v>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6"/>
      <c r="Q202" s="36"/>
    </row>
    <row r="203" spans="1:17" x14ac:dyDescent="0.25">
      <c r="A203" s="13">
        <v>154</v>
      </c>
      <c r="B203" s="14" t="s">
        <v>129</v>
      </c>
      <c r="C203" s="15">
        <v>0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6"/>
      <c r="Q203" s="36"/>
    </row>
    <row r="204" spans="1:17" x14ac:dyDescent="0.25">
      <c r="A204" s="13">
        <v>155</v>
      </c>
      <c r="B204" s="14" t="s">
        <v>130</v>
      </c>
      <c r="C204" s="15">
        <v>0</v>
      </c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6"/>
      <c r="Q204" s="36"/>
    </row>
    <row r="205" spans="1:17" ht="31.5" x14ac:dyDescent="0.25">
      <c r="A205" s="13">
        <v>156</v>
      </c>
      <c r="B205" s="14" t="s">
        <v>131</v>
      </c>
      <c r="C205" s="15">
        <v>0</v>
      </c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6"/>
      <c r="Q205" s="36"/>
    </row>
    <row r="206" spans="1:17" x14ac:dyDescent="0.25">
      <c r="A206" s="13">
        <v>157</v>
      </c>
      <c r="B206" s="14" t="s">
        <v>132</v>
      </c>
      <c r="C206" s="15">
        <v>0</v>
      </c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6"/>
      <c r="Q206" s="36"/>
    </row>
    <row r="207" spans="1:17" x14ac:dyDescent="0.25">
      <c r="A207" s="13">
        <v>158</v>
      </c>
      <c r="B207" s="14" t="s">
        <v>133</v>
      </c>
      <c r="C207" s="15">
        <v>0</v>
      </c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6"/>
      <c r="Q207" s="36"/>
    </row>
    <row r="208" spans="1:17" ht="31.5" x14ac:dyDescent="0.25">
      <c r="A208" s="10"/>
      <c r="B208" s="11" t="s">
        <v>201</v>
      </c>
      <c r="C208" s="12">
        <f>SUM(C209:C213)</f>
        <v>878.82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6"/>
      <c r="Q208" s="36"/>
    </row>
    <row r="209" spans="1:17" ht="31.5" x14ac:dyDescent="0.25">
      <c r="A209" s="13">
        <v>159</v>
      </c>
      <c r="B209" s="14" t="s">
        <v>107</v>
      </c>
      <c r="C209" s="15">
        <v>683.86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6"/>
      <c r="Q209" s="36"/>
    </row>
    <row r="210" spans="1:17" x14ac:dyDescent="0.25">
      <c r="A210" s="13">
        <v>160</v>
      </c>
      <c r="B210" s="14" t="s">
        <v>134</v>
      </c>
      <c r="C210" s="15">
        <v>32.06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6"/>
      <c r="Q210" s="36"/>
    </row>
    <row r="211" spans="1:17" x14ac:dyDescent="0.25">
      <c r="A211" s="13">
        <v>161</v>
      </c>
      <c r="B211" s="14" t="s">
        <v>109</v>
      </c>
      <c r="C211" s="15">
        <v>26.43</v>
      </c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6"/>
      <c r="Q211" s="36"/>
    </row>
    <row r="212" spans="1:17" x14ac:dyDescent="0.25">
      <c r="A212" s="13">
        <v>162</v>
      </c>
      <c r="B212" s="14" t="s">
        <v>110</v>
      </c>
      <c r="C212" s="15">
        <v>18.47</v>
      </c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6"/>
      <c r="Q212" s="36"/>
    </row>
    <row r="213" spans="1:17" x14ac:dyDescent="0.25">
      <c r="A213" s="13">
        <v>163</v>
      </c>
      <c r="B213" s="14" t="s">
        <v>135</v>
      </c>
      <c r="C213" s="15">
        <v>118</v>
      </c>
      <c r="D213" s="43">
        <v>10</v>
      </c>
      <c r="E213" s="43">
        <v>6</v>
      </c>
      <c r="F213" s="43">
        <v>10</v>
      </c>
      <c r="G213" s="43">
        <v>6</v>
      </c>
      <c r="H213" s="43">
        <v>12</v>
      </c>
      <c r="I213" s="43">
        <v>12</v>
      </c>
      <c r="J213" s="43">
        <v>8</v>
      </c>
      <c r="K213" s="43">
        <v>8</v>
      </c>
      <c r="L213" s="43">
        <v>10</v>
      </c>
      <c r="M213" s="43">
        <v>14</v>
      </c>
      <c r="N213" s="43">
        <v>10</v>
      </c>
      <c r="O213" s="43">
        <v>12</v>
      </c>
      <c r="P213" s="44">
        <v>0</v>
      </c>
      <c r="Q213" s="36"/>
    </row>
    <row r="214" spans="1:17" ht="31.5" x14ac:dyDescent="0.25">
      <c r="A214" s="10"/>
      <c r="B214" s="11" t="s">
        <v>202</v>
      </c>
      <c r="C214" s="12">
        <f>SUM(C215:C221)</f>
        <v>3068.98</v>
      </c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6"/>
      <c r="Q214" s="36"/>
    </row>
    <row r="215" spans="1:17" x14ac:dyDescent="0.25">
      <c r="A215" s="13">
        <v>164</v>
      </c>
      <c r="B215" s="14" t="s">
        <v>136</v>
      </c>
      <c r="C215" s="15">
        <v>1344.62</v>
      </c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6"/>
      <c r="Q215" s="36"/>
    </row>
    <row r="216" spans="1:17" x14ac:dyDescent="0.25">
      <c r="A216" s="13">
        <v>165</v>
      </c>
      <c r="B216" s="14" t="s">
        <v>137</v>
      </c>
      <c r="C216" s="15">
        <v>0</v>
      </c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6"/>
      <c r="Q216" s="36"/>
    </row>
    <row r="217" spans="1:17" x14ac:dyDescent="0.25">
      <c r="A217" s="13">
        <v>166</v>
      </c>
      <c r="B217" s="16" t="s">
        <v>138</v>
      </c>
      <c r="C217" s="15">
        <v>1.1299999999999999</v>
      </c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6"/>
      <c r="Q217" s="36"/>
    </row>
    <row r="218" spans="1:17" x14ac:dyDescent="0.25">
      <c r="A218" s="13">
        <v>167</v>
      </c>
      <c r="B218" s="14" t="s">
        <v>139</v>
      </c>
      <c r="C218" s="15">
        <v>616.24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6"/>
      <c r="Q218" s="36"/>
    </row>
    <row r="219" spans="1:17" x14ac:dyDescent="0.25">
      <c r="A219" s="13">
        <v>168</v>
      </c>
      <c r="B219" s="14" t="s">
        <v>140</v>
      </c>
      <c r="C219" s="15">
        <v>290.7</v>
      </c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6"/>
      <c r="Q219" s="36"/>
    </row>
    <row r="220" spans="1:17" x14ac:dyDescent="0.25">
      <c r="A220" s="13">
        <v>169</v>
      </c>
      <c r="B220" s="16" t="s">
        <v>141</v>
      </c>
      <c r="C220" s="15">
        <v>816.29</v>
      </c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6"/>
      <c r="Q220" s="36"/>
    </row>
    <row r="221" spans="1:17" ht="31.5" x14ac:dyDescent="0.25">
      <c r="A221" s="13">
        <v>170</v>
      </c>
      <c r="B221" s="14" t="s">
        <v>221</v>
      </c>
      <c r="C221" s="15">
        <v>0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6"/>
      <c r="Q221" s="36"/>
    </row>
    <row r="222" spans="1:17" x14ac:dyDescent="0.25">
      <c r="A222" s="10"/>
      <c r="B222" s="11" t="s">
        <v>206</v>
      </c>
      <c r="C222" s="12">
        <f>SUM(C223:C226)</f>
        <v>95.96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6"/>
      <c r="Q222" s="36"/>
    </row>
    <row r="223" spans="1:17" x14ac:dyDescent="0.25">
      <c r="A223" s="13">
        <v>171</v>
      </c>
      <c r="B223" s="14" t="s">
        <v>142</v>
      </c>
      <c r="C223" s="15">
        <v>0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6"/>
      <c r="Q223" s="36"/>
    </row>
    <row r="224" spans="1:17" x14ac:dyDescent="0.25">
      <c r="A224" s="13">
        <v>172</v>
      </c>
      <c r="B224" s="14" t="s">
        <v>143</v>
      </c>
      <c r="C224" s="15">
        <v>0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6"/>
      <c r="Q224" s="36"/>
    </row>
    <row r="225" spans="1:17" x14ac:dyDescent="0.25">
      <c r="A225" s="13">
        <v>173</v>
      </c>
      <c r="B225" s="16" t="s">
        <v>144</v>
      </c>
      <c r="C225" s="15">
        <v>95.96</v>
      </c>
      <c r="D225" s="35">
        <f>1.031828*6</f>
        <v>6.1909679999999998</v>
      </c>
      <c r="E225" s="35">
        <f>1.031828*6</f>
        <v>6.1909679999999998</v>
      </c>
      <c r="F225" s="35">
        <f>1.031828*9</f>
        <v>9.2864520000000006</v>
      </c>
      <c r="G225" s="35">
        <f t="shared" ref="G225" si="32">1.031828*6</f>
        <v>6.1909679999999998</v>
      </c>
      <c r="H225" s="35">
        <f>1.031828*10</f>
        <v>10.31828</v>
      </c>
      <c r="I225" s="35">
        <f>1.031828*11</f>
        <v>11.350107999999999</v>
      </c>
      <c r="J225" s="35">
        <v>0</v>
      </c>
      <c r="K225" s="35">
        <f>1.031828*4</f>
        <v>4.1273119999999999</v>
      </c>
      <c r="L225" s="35">
        <f>1.031828*13</f>
        <v>13.413764</v>
      </c>
      <c r="M225" s="35">
        <f>1.031828*11</f>
        <v>11.350107999999999</v>
      </c>
      <c r="N225" s="35">
        <f>1.031828*7</f>
        <v>7.2227959999999998</v>
      </c>
      <c r="O225" s="35">
        <f>1.031828*10</f>
        <v>10.31828</v>
      </c>
      <c r="P225" s="36"/>
      <c r="Q225" s="36"/>
    </row>
    <row r="226" spans="1:17" x14ac:dyDescent="0.25">
      <c r="A226" s="13">
        <v>174</v>
      </c>
      <c r="B226" s="14" t="s">
        <v>145</v>
      </c>
      <c r="C226" s="15">
        <v>0</v>
      </c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6"/>
      <c r="Q226" s="36"/>
    </row>
    <row r="227" spans="1:17" x14ac:dyDescent="0.25">
      <c r="A227" s="10"/>
      <c r="B227" s="11" t="s">
        <v>203</v>
      </c>
      <c r="C227" s="12">
        <f>SUM(C228:C230)</f>
        <v>498.53000000000003</v>
      </c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6"/>
      <c r="Q227" s="36"/>
    </row>
    <row r="228" spans="1:17" ht="31.5" x14ac:dyDescent="0.25">
      <c r="A228" s="13">
        <v>175</v>
      </c>
      <c r="B228" s="14" t="s">
        <v>116</v>
      </c>
      <c r="C228" s="15">
        <v>306.3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6"/>
      <c r="Q228" s="36"/>
    </row>
    <row r="229" spans="1:17" x14ac:dyDescent="0.25">
      <c r="A229" s="13">
        <v>176</v>
      </c>
      <c r="B229" s="14" t="s">
        <v>117</v>
      </c>
      <c r="C229" s="15">
        <v>185.43</v>
      </c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6"/>
      <c r="Q229" s="36"/>
    </row>
    <row r="230" spans="1:17" x14ac:dyDescent="0.25">
      <c r="A230" s="13">
        <v>177</v>
      </c>
      <c r="B230" s="14" t="s">
        <v>118</v>
      </c>
      <c r="C230" s="15">
        <v>6.8</v>
      </c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6"/>
      <c r="Q230" s="36"/>
    </row>
    <row r="231" spans="1:17" ht="31.5" x14ac:dyDescent="0.25">
      <c r="A231" s="10"/>
      <c r="B231" s="11" t="s">
        <v>207</v>
      </c>
      <c r="C231" s="12">
        <f>SUM(C232:C237)</f>
        <v>785.8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6"/>
      <c r="Q231" s="36"/>
    </row>
    <row r="232" spans="1:17" x14ac:dyDescent="0.25">
      <c r="A232" s="13">
        <v>178</v>
      </c>
      <c r="B232" s="16" t="s">
        <v>146</v>
      </c>
      <c r="C232" s="15">
        <v>0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6"/>
      <c r="Q232" s="36"/>
    </row>
    <row r="233" spans="1:17" x14ac:dyDescent="0.25">
      <c r="A233" s="13">
        <v>179</v>
      </c>
      <c r="B233" s="16" t="s">
        <v>63</v>
      </c>
      <c r="C233" s="15">
        <v>76.17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6"/>
      <c r="Q233" s="36"/>
    </row>
    <row r="234" spans="1:17" x14ac:dyDescent="0.25">
      <c r="A234" s="13">
        <v>180</v>
      </c>
      <c r="B234" s="16" t="s">
        <v>147</v>
      </c>
      <c r="C234" s="15">
        <v>466.64</v>
      </c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6"/>
      <c r="Q234" s="36"/>
    </row>
    <row r="235" spans="1:17" x14ac:dyDescent="0.25">
      <c r="A235" s="13">
        <v>181</v>
      </c>
      <c r="B235" s="16" t="s">
        <v>148</v>
      </c>
      <c r="C235" s="15">
        <v>163</v>
      </c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6"/>
      <c r="Q235" s="36"/>
    </row>
    <row r="236" spans="1:17" x14ac:dyDescent="0.25">
      <c r="A236" s="13">
        <v>182</v>
      </c>
      <c r="B236" s="14" t="s">
        <v>149</v>
      </c>
      <c r="C236" s="15">
        <v>79.989999999999995</v>
      </c>
      <c r="D236" s="35">
        <v>7.2718179999999997</v>
      </c>
      <c r="E236" s="35">
        <v>7.2718179999999997</v>
      </c>
      <c r="F236" s="35">
        <v>7.2718179999999997</v>
      </c>
      <c r="G236" s="35">
        <v>7.2718179999999997</v>
      </c>
      <c r="H236" s="35">
        <v>7.2718179999999997</v>
      </c>
      <c r="I236" s="35">
        <v>7.2718179999999997</v>
      </c>
      <c r="J236" s="35"/>
      <c r="K236" s="35">
        <v>7.2718179999999997</v>
      </c>
      <c r="L236" s="35">
        <v>7.2718179999999997</v>
      </c>
      <c r="M236" s="35">
        <v>7.2718179999999997</v>
      </c>
      <c r="N236" s="35">
        <v>7.2718179999999997</v>
      </c>
      <c r="O236" s="35">
        <v>7.2718179999999997</v>
      </c>
      <c r="P236" s="36"/>
      <c r="Q236" s="36"/>
    </row>
    <row r="237" spans="1:17" ht="31.5" x14ac:dyDescent="0.25">
      <c r="A237" s="13">
        <v>183</v>
      </c>
      <c r="B237" s="16" t="s">
        <v>150</v>
      </c>
      <c r="C237" s="15">
        <v>0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6"/>
      <c r="Q237" s="36"/>
    </row>
    <row r="238" spans="1:17" ht="31.5" x14ac:dyDescent="0.25">
      <c r="A238" s="10"/>
      <c r="B238" s="23" t="s">
        <v>208</v>
      </c>
      <c r="C238" s="12">
        <f>C239</f>
        <v>122.86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6"/>
      <c r="Q238" s="36"/>
    </row>
    <row r="239" spans="1:17" ht="31.5" x14ac:dyDescent="0.25">
      <c r="A239" s="13">
        <v>184</v>
      </c>
      <c r="B239" s="14" t="s">
        <v>151</v>
      </c>
      <c r="C239" s="15">
        <v>122.86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6"/>
      <c r="Q239" s="36"/>
    </row>
    <row r="240" spans="1:17" x14ac:dyDescent="0.25">
      <c r="A240" s="10"/>
      <c r="B240" s="11" t="s">
        <v>187</v>
      </c>
      <c r="C240" s="12">
        <f>SUM(C241:C247)</f>
        <v>7359.3099999999995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6"/>
      <c r="Q240" s="36"/>
    </row>
    <row r="241" spans="1:17" s="53" customFormat="1" x14ac:dyDescent="0.25">
      <c r="A241" s="48">
        <v>185.1</v>
      </c>
      <c r="B241" s="49" t="s">
        <v>188</v>
      </c>
      <c r="C241" s="50">
        <v>5405.13</v>
      </c>
      <c r="D241" s="51">
        <f>C241/11</f>
        <v>491.37545454545455</v>
      </c>
      <c r="E241" s="51">
        <f>D241/11</f>
        <v>44.670495867768594</v>
      </c>
      <c r="F241" s="51">
        <f t="shared" ref="F241:O241" si="33">E241/11</f>
        <v>4.060954169797145</v>
      </c>
      <c r="G241" s="51">
        <f t="shared" si="33"/>
        <v>0.36917765179974044</v>
      </c>
      <c r="H241" s="51">
        <f t="shared" si="33"/>
        <v>3.3561604709067314E-2</v>
      </c>
      <c r="I241" s="51">
        <f t="shared" si="33"/>
        <v>3.0510549735515741E-3</v>
      </c>
      <c r="J241" s="51">
        <f t="shared" si="33"/>
        <v>2.7736863395923402E-4</v>
      </c>
      <c r="K241" s="51">
        <f t="shared" si="33"/>
        <v>2.5215330359930365E-5</v>
      </c>
      <c r="L241" s="51">
        <f t="shared" si="33"/>
        <v>2.2923027599936696E-6</v>
      </c>
      <c r="M241" s="51">
        <f t="shared" si="33"/>
        <v>2.0839115999942452E-7</v>
      </c>
      <c r="N241" s="51">
        <f t="shared" si="33"/>
        <v>1.8944650909038594E-8</v>
      </c>
      <c r="O241" s="51">
        <f t="shared" si="33"/>
        <v>1.7222409917307812E-9</v>
      </c>
      <c r="P241" s="52"/>
      <c r="Q241" s="52"/>
    </row>
    <row r="242" spans="1:17" s="53" customFormat="1" x14ac:dyDescent="0.25">
      <c r="A242" s="48">
        <v>185.2</v>
      </c>
      <c r="B242" s="49" t="s">
        <v>189</v>
      </c>
      <c r="C242" s="50"/>
      <c r="D242" s="51">
        <f>C242/11</f>
        <v>0</v>
      </c>
      <c r="E242" s="51">
        <f>D242/11</f>
        <v>0</v>
      </c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2"/>
      <c r="Q242" s="52"/>
    </row>
    <row r="243" spans="1:17" ht="31.5" x14ac:dyDescent="0.25">
      <c r="A243" s="13">
        <v>186</v>
      </c>
      <c r="B243" s="14" t="s">
        <v>119</v>
      </c>
      <c r="C243" s="15">
        <v>597.9</v>
      </c>
      <c r="D243" s="43">
        <v>15000.27</v>
      </c>
      <c r="E243" s="43">
        <v>9900.27</v>
      </c>
      <c r="F243" s="43">
        <v>13500.27</v>
      </c>
      <c r="G243" s="43">
        <v>3000.27</v>
      </c>
      <c r="H243" s="43">
        <v>22800.27</v>
      </c>
      <c r="I243" s="43">
        <v>13500.27</v>
      </c>
      <c r="J243" s="43">
        <v>6000.27</v>
      </c>
      <c r="K243" s="43">
        <v>9000.27</v>
      </c>
      <c r="L243" s="43">
        <v>14400.27</v>
      </c>
      <c r="M243" s="43">
        <v>14400.27</v>
      </c>
      <c r="N243" s="43">
        <v>17400.27</v>
      </c>
      <c r="O243" s="43">
        <v>11100.27</v>
      </c>
      <c r="P243" s="44">
        <v>0</v>
      </c>
      <c r="Q243" s="43">
        <f>(SUM(D243:P243))+(SUM(D243:P243))</f>
        <v>300006.48</v>
      </c>
    </row>
    <row r="244" spans="1:17" s="53" customFormat="1" x14ac:dyDescent="0.25">
      <c r="A244" s="48">
        <v>187</v>
      </c>
      <c r="B244" s="49" t="s">
        <v>152</v>
      </c>
      <c r="C244" s="50">
        <v>672.28</v>
      </c>
      <c r="D244" s="51">
        <f>C244/11</f>
        <v>61.116363636363637</v>
      </c>
      <c r="E244" s="51">
        <f t="shared" ref="E244:O244" si="34">D244/11</f>
        <v>5.5560330578512396</v>
      </c>
      <c r="F244" s="51">
        <f t="shared" si="34"/>
        <v>0.50509391435011264</v>
      </c>
      <c r="G244" s="51">
        <f t="shared" si="34"/>
        <v>4.5917628577282966E-2</v>
      </c>
      <c r="H244" s="51">
        <f t="shared" si="34"/>
        <v>4.1743298706620876E-3</v>
      </c>
      <c r="I244" s="51">
        <f t="shared" si="34"/>
        <v>3.794845336965534E-4</v>
      </c>
      <c r="J244" s="51">
        <f t="shared" si="34"/>
        <v>3.4498593972413945E-5</v>
      </c>
      <c r="K244" s="51">
        <f t="shared" si="34"/>
        <v>3.1362358156739949E-6</v>
      </c>
      <c r="L244" s="51">
        <f t="shared" si="34"/>
        <v>2.8511234687945406E-7</v>
      </c>
      <c r="M244" s="51">
        <f t="shared" si="34"/>
        <v>2.5919304261768551E-8</v>
      </c>
      <c r="N244" s="51">
        <f t="shared" si="34"/>
        <v>2.3563003874335047E-9</v>
      </c>
      <c r="O244" s="51">
        <f t="shared" si="34"/>
        <v>2.1420912613031861E-10</v>
      </c>
      <c r="P244" s="52"/>
      <c r="Q244" s="52"/>
    </row>
    <row r="245" spans="1:17" s="53" customFormat="1" x14ac:dyDescent="0.25">
      <c r="A245" s="48">
        <v>188</v>
      </c>
      <c r="B245" s="49" t="s">
        <v>120</v>
      </c>
      <c r="C245" s="50">
        <v>684</v>
      </c>
      <c r="D245" s="51">
        <f>C245/11</f>
        <v>62.18181818181818</v>
      </c>
      <c r="E245" s="51">
        <f t="shared" ref="E245:O245" si="35">D245/11</f>
        <v>5.6528925619834709</v>
      </c>
      <c r="F245" s="51">
        <f t="shared" si="35"/>
        <v>0.51389932381667913</v>
      </c>
      <c r="G245" s="51">
        <f t="shared" si="35"/>
        <v>4.6718120346970829E-2</v>
      </c>
      <c r="H245" s="51">
        <f t="shared" si="35"/>
        <v>4.247101849724621E-3</v>
      </c>
      <c r="I245" s="51">
        <f t="shared" si="35"/>
        <v>3.8610016815678375E-4</v>
      </c>
      <c r="J245" s="51">
        <f t="shared" si="35"/>
        <v>3.510001528698034E-5</v>
      </c>
      <c r="K245" s="51">
        <f t="shared" si="35"/>
        <v>3.1909104806345765E-6</v>
      </c>
      <c r="L245" s="51">
        <f t="shared" si="35"/>
        <v>2.9008277096677969E-7</v>
      </c>
      <c r="M245" s="51">
        <f t="shared" si="35"/>
        <v>2.6371160996979974E-8</v>
      </c>
      <c r="N245" s="51">
        <f t="shared" si="35"/>
        <v>2.3973782724527247E-9</v>
      </c>
      <c r="O245" s="51">
        <f t="shared" si="35"/>
        <v>2.1794347931388407E-10</v>
      </c>
      <c r="P245" s="52"/>
      <c r="Q245" s="52"/>
    </row>
    <row r="246" spans="1:17" x14ac:dyDescent="0.25">
      <c r="A246" s="13">
        <v>189</v>
      </c>
      <c r="B246" s="14" t="s">
        <v>121</v>
      </c>
      <c r="C246" s="15">
        <v>0</v>
      </c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6"/>
      <c r="Q246" s="36"/>
    </row>
    <row r="247" spans="1:17" x14ac:dyDescent="0.25">
      <c r="A247" s="13">
        <v>190</v>
      </c>
      <c r="B247" s="14" t="s">
        <v>153</v>
      </c>
      <c r="C247" s="15">
        <v>0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6"/>
      <c r="Q247" s="36"/>
    </row>
    <row r="248" spans="1:17" x14ac:dyDescent="0.25">
      <c r="A248" s="10"/>
      <c r="B248" s="11" t="s">
        <v>209</v>
      </c>
      <c r="C248" s="12">
        <f>SUM(C249:C250)</f>
        <v>0</v>
      </c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6"/>
      <c r="Q248" s="36"/>
    </row>
    <row r="249" spans="1:17" x14ac:dyDescent="0.25">
      <c r="A249" s="13">
        <v>191</v>
      </c>
      <c r="B249" s="14" t="s">
        <v>154</v>
      </c>
      <c r="C249" s="15">
        <v>0</v>
      </c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6"/>
      <c r="Q249" s="36"/>
    </row>
    <row r="250" spans="1:17" x14ac:dyDescent="0.25">
      <c r="A250" s="13">
        <v>192</v>
      </c>
      <c r="B250" s="14" t="s">
        <v>155</v>
      </c>
      <c r="C250" s="15">
        <v>0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6"/>
      <c r="Q250" s="36"/>
    </row>
    <row r="251" spans="1:17" x14ac:dyDescent="0.25">
      <c r="A251" s="10"/>
      <c r="B251" s="11" t="s">
        <v>220</v>
      </c>
      <c r="C251" s="12">
        <f>SUM(C252:C254)</f>
        <v>73.72</v>
      </c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6"/>
      <c r="Q251" s="36"/>
    </row>
    <row r="252" spans="1:17" x14ac:dyDescent="0.25">
      <c r="A252" s="13">
        <v>193</v>
      </c>
      <c r="B252" s="16" t="s">
        <v>156</v>
      </c>
      <c r="C252" s="15">
        <v>0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6"/>
      <c r="Q252" s="36"/>
    </row>
    <row r="253" spans="1:17" x14ac:dyDescent="0.25">
      <c r="A253" s="13">
        <v>194.1</v>
      </c>
      <c r="B253" s="16" t="s">
        <v>122</v>
      </c>
      <c r="C253" s="15">
        <v>73.72</v>
      </c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6"/>
      <c r="Q253" s="36"/>
    </row>
    <row r="254" spans="1:17" x14ac:dyDescent="0.25">
      <c r="A254" s="13">
        <v>194.2</v>
      </c>
      <c r="B254" s="16" t="s">
        <v>210</v>
      </c>
      <c r="C254" s="15">
        <v>0</v>
      </c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6"/>
      <c r="Q254" s="36"/>
    </row>
    <row r="255" spans="1:17" ht="31.5" x14ac:dyDescent="0.25">
      <c r="A255" s="10"/>
      <c r="B255" s="11" t="s">
        <v>211</v>
      </c>
      <c r="C255" s="12">
        <f>SUM(C256:C258)</f>
        <v>138.55000000000001</v>
      </c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6"/>
      <c r="Q255" s="36"/>
    </row>
    <row r="256" spans="1:17" x14ac:dyDescent="0.25">
      <c r="A256" s="13">
        <v>195</v>
      </c>
      <c r="B256" s="14" t="s">
        <v>157</v>
      </c>
      <c r="C256" s="15">
        <v>138.55000000000001</v>
      </c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6"/>
      <c r="Q256" s="36"/>
    </row>
    <row r="257" spans="1:17" x14ac:dyDescent="0.25">
      <c r="A257" s="13">
        <v>196</v>
      </c>
      <c r="B257" s="14" t="s">
        <v>158</v>
      </c>
      <c r="C257" s="15">
        <v>0</v>
      </c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6"/>
      <c r="Q257" s="36"/>
    </row>
    <row r="258" spans="1:17" x14ac:dyDescent="0.25">
      <c r="A258" s="13">
        <v>197</v>
      </c>
      <c r="B258" s="14" t="s">
        <v>159</v>
      </c>
      <c r="C258" s="15">
        <v>0</v>
      </c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6"/>
      <c r="Q258" s="36"/>
    </row>
    <row r="259" spans="1:17" ht="31.5" x14ac:dyDescent="0.25">
      <c r="A259" s="10">
        <v>198</v>
      </c>
      <c r="B259" s="11" t="s">
        <v>123</v>
      </c>
      <c r="C259" s="18">
        <v>0</v>
      </c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6"/>
      <c r="Q259" s="36"/>
    </row>
    <row r="260" spans="1:17" s="53" customFormat="1" x14ac:dyDescent="0.25">
      <c r="A260" s="48">
        <v>199</v>
      </c>
      <c r="B260" s="49" t="s">
        <v>124</v>
      </c>
      <c r="C260" s="50">
        <v>529.58000000000004</v>
      </c>
      <c r="D260" s="51">
        <f>C260/11</f>
        <v>48.143636363636368</v>
      </c>
      <c r="E260" s="51">
        <f t="shared" ref="E260:O260" si="36">D260/11</f>
        <v>4.3766942148760331</v>
      </c>
      <c r="F260" s="51">
        <f t="shared" si="36"/>
        <v>0.39788129226145758</v>
      </c>
      <c r="G260" s="51">
        <f t="shared" si="36"/>
        <v>3.6171026569223413E-2</v>
      </c>
      <c r="H260" s="51">
        <f t="shared" si="36"/>
        <v>3.288275142656674E-3</v>
      </c>
      <c r="I260" s="51">
        <f t="shared" si="36"/>
        <v>2.9893410387787944E-4</v>
      </c>
      <c r="J260" s="51">
        <f t="shared" si="36"/>
        <v>2.7175827625261767E-5</v>
      </c>
      <c r="K260" s="51">
        <f t="shared" si="36"/>
        <v>2.470529784114706E-6</v>
      </c>
      <c r="L260" s="51">
        <f t="shared" si="36"/>
        <v>2.2459361673770054E-7</v>
      </c>
      <c r="M260" s="51">
        <f t="shared" si="36"/>
        <v>2.0417601521609139E-8</v>
      </c>
      <c r="N260" s="51">
        <f t="shared" si="36"/>
        <v>1.8561455928735581E-9</v>
      </c>
      <c r="O260" s="51">
        <f t="shared" si="36"/>
        <v>1.6874050844305074E-10</v>
      </c>
      <c r="P260" s="52"/>
      <c r="Q260" s="52"/>
    </row>
    <row r="261" spans="1:17" x14ac:dyDescent="0.25">
      <c r="A261" s="5" t="s">
        <v>237</v>
      </c>
      <c r="B261" s="6" t="s">
        <v>226</v>
      </c>
      <c r="C261" s="3">
        <f t="shared" ref="C261" si="37">+SUM(C262:C268)</f>
        <v>0</v>
      </c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6"/>
      <c r="Q261" s="36"/>
    </row>
    <row r="262" spans="1:17" hidden="1" x14ac:dyDescent="0.25">
      <c r="A262" s="13">
        <v>1</v>
      </c>
      <c r="B262" s="14" t="s">
        <v>227</v>
      </c>
      <c r="C262" s="24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6"/>
      <c r="Q262" s="36"/>
    </row>
    <row r="263" spans="1:17" hidden="1" x14ac:dyDescent="0.25">
      <c r="A263" s="13">
        <v>2</v>
      </c>
      <c r="B263" s="14" t="s">
        <v>228</v>
      </c>
      <c r="C263" s="24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6"/>
      <c r="Q263" s="36"/>
    </row>
    <row r="264" spans="1:17" hidden="1" x14ac:dyDescent="0.25">
      <c r="A264" s="13">
        <v>3</v>
      </c>
      <c r="B264" s="14" t="s">
        <v>229</v>
      </c>
      <c r="C264" s="24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6"/>
      <c r="Q264" s="36"/>
    </row>
    <row r="265" spans="1:17" hidden="1" x14ac:dyDescent="0.25">
      <c r="A265" s="13">
        <v>4</v>
      </c>
      <c r="B265" s="14" t="s">
        <v>230</v>
      </c>
      <c r="C265" s="24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6"/>
      <c r="Q265" s="36"/>
    </row>
    <row r="266" spans="1:17" hidden="1" x14ac:dyDescent="0.25">
      <c r="A266" s="13">
        <v>5</v>
      </c>
      <c r="B266" s="14" t="s">
        <v>231</v>
      </c>
      <c r="C266" s="24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6"/>
      <c r="Q266" s="36"/>
    </row>
    <row r="267" spans="1:17" ht="31.5" hidden="1" x14ac:dyDescent="0.25">
      <c r="A267" s="13">
        <v>6</v>
      </c>
      <c r="B267" s="14" t="s">
        <v>232</v>
      </c>
      <c r="C267" s="24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6"/>
      <c r="Q267" s="36"/>
    </row>
    <row r="268" spans="1:17" hidden="1" x14ac:dyDescent="0.25">
      <c r="A268" s="13">
        <v>7</v>
      </c>
      <c r="B268" s="14" t="s">
        <v>233</v>
      </c>
      <c r="C268" s="24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6"/>
      <c r="Q268" s="36"/>
    </row>
    <row r="269" spans="1:17" x14ac:dyDescent="0.25">
      <c r="A269" s="25"/>
      <c r="B269" s="26" t="s">
        <v>222</v>
      </c>
      <c r="C269" s="27">
        <f t="shared" ref="C269" si="38">+C261+C9</f>
        <v>21866.769999999997</v>
      </c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</row>
    <row r="270" spans="1:17" ht="32.25" customHeight="1" x14ac:dyDescent="0.25"/>
    <row r="271" spans="1:17" ht="18.75" x14ac:dyDescent="0.3">
      <c r="A271" s="31" t="s">
        <v>259</v>
      </c>
      <c r="C271" s="30" t="s">
        <v>258</v>
      </c>
      <c r="E271" s="30"/>
      <c r="F271" s="2"/>
    </row>
  </sheetData>
  <sheetProtection password="87A7" sheet="1" objects="1" scenarios="1"/>
  <mergeCells count="4">
    <mergeCell ref="A7:A8"/>
    <mergeCell ref="B7:B8"/>
    <mergeCell ref="D7:P7"/>
    <mergeCell ref="A1:Q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sweta roy</dc:creator>
  <cp:lastModifiedBy>dell</cp:lastModifiedBy>
  <cp:lastPrinted>2023-02-15T09:04:09Z</cp:lastPrinted>
  <dcterms:created xsi:type="dcterms:W3CDTF">2022-04-05T09:54:05Z</dcterms:created>
  <dcterms:modified xsi:type="dcterms:W3CDTF">2023-02-15T09:04:53Z</dcterms:modified>
</cp:coreProperties>
</file>